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ortez\AppData\Local\Microsoft\Windows\INetCache\Content.Outlook\3BVLZOUA\"/>
    </mc:Choice>
  </mc:AlternateContent>
  <xr:revisionPtr revIDLastSave="0" documentId="13_ncr:1_{346E8E5D-F4DF-447F-A499-71B7DE94738E}" xr6:coauthVersionLast="36" xr6:coauthVersionMax="45" xr10:uidLastSave="{00000000-0000-0000-0000-000000000000}"/>
  <bookViews>
    <workbookView xWindow="-105" yWindow="-105" windowWidth="12435" windowHeight="7410" xr2:uid="{00000000-000D-0000-FFFF-FFFF00000000}"/>
  </bookViews>
  <sheets>
    <sheet name="Available Funds" sheetId="1" r:id="rId1"/>
    <sheet name="Capital_Expenses - Sched A" sheetId="13" r:id="rId2"/>
    <sheet name="Revenue" sheetId="8" r:id="rId3"/>
    <sheet name="Expense" sheetId="5" r:id="rId4"/>
    <sheet name="Capital Projects" sheetId="14" r:id="rId5"/>
  </sheets>
  <definedNames>
    <definedName name="d" localSheetId="4">#REF!</definedName>
    <definedName name="d" localSheetId="1">#REF!</definedName>
    <definedName name="d" localSheetId="2">#REF!</definedName>
    <definedName name="d">#REF!</definedName>
    <definedName name="_xlnm.Print_Area" localSheetId="4">'Capital Projects'!$B$3:$J$78</definedName>
    <definedName name="_xlnm.Print_Titles" localSheetId="4">'Capital Projects'!$4:$4</definedName>
    <definedName name="_xlnm.Print_Titles" localSheetId="3">Expense!$1:$2</definedName>
  </definedNames>
  <calcPr calcId="191029"/>
</workbook>
</file>

<file path=xl/calcChain.xml><?xml version="1.0" encoding="utf-8"?>
<calcChain xmlns="http://schemas.openxmlformats.org/spreadsheetml/2006/main">
  <c r="H46" i="1" l="1"/>
  <c r="E18" i="13"/>
  <c r="F18" i="13" s="1"/>
  <c r="I67" i="14"/>
  <c r="A64" i="14"/>
  <c r="H61" i="14"/>
  <c r="I63" i="14" s="1"/>
  <c r="I58" i="14"/>
  <c r="I52" i="14"/>
  <c r="H46" i="14"/>
  <c r="I47" i="14" s="1"/>
  <c r="H43" i="14"/>
  <c r="I44" i="14" s="1"/>
  <c r="H40" i="14"/>
  <c r="I41" i="14" s="1"/>
  <c r="H37" i="14"/>
  <c r="I38" i="14" s="1"/>
  <c r="H36" i="14"/>
  <c r="I34" i="14"/>
  <c r="I33" i="14"/>
  <c r="J32" i="14"/>
  <c r="I30" i="14"/>
  <c r="J29" i="14"/>
  <c r="J27" i="14"/>
  <c r="I27" i="14"/>
  <c r="J26" i="14"/>
  <c r="H22" i="14"/>
  <c r="H21" i="14"/>
  <c r="H20" i="14"/>
  <c r="I23" i="14" s="1"/>
  <c r="H17" i="14"/>
  <c r="J17" i="14" s="1"/>
  <c r="H14" i="14"/>
  <c r="I15" i="14" s="1"/>
  <c r="J11" i="14"/>
  <c r="I71" i="14" s="1"/>
  <c r="H11" i="14"/>
  <c r="I12" i="14" s="1"/>
  <c r="I9" i="14"/>
  <c r="J8" i="14"/>
  <c r="I70" i="14" s="1"/>
  <c r="H8" i="14"/>
  <c r="F85" i="5"/>
  <c r="H26" i="13"/>
  <c r="G26" i="13"/>
  <c r="K16" i="13"/>
  <c r="H16" i="13"/>
  <c r="H27" i="13" s="1"/>
  <c r="G16" i="13"/>
  <c r="G27" i="13" s="1"/>
  <c r="I15" i="13"/>
  <c r="F15" i="13"/>
  <c r="F14" i="13"/>
  <c r="I14" i="13" s="1"/>
  <c r="F13" i="13"/>
  <c r="I13" i="13" s="1"/>
  <c r="F12" i="13"/>
  <c r="I12" i="13" s="1"/>
  <c r="I11" i="13"/>
  <c r="F11" i="13"/>
  <c r="F10" i="13"/>
  <c r="I10" i="13" s="1"/>
  <c r="F9" i="13"/>
  <c r="I9" i="13" s="1"/>
  <c r="F8" i="13"/>
  <c r="I8" i="13" s="1"/>
  <c r="I7" i="13"/>
  <c r="F7" i="13"/>
  <c r="F6" i="13"/>
  <c r="I6" i="13" s="1"/>
  <c r="F5" i="13"/>
  <c r="I5" i="13" s="1"/>
  <c r="F4" i="13"/>
  <c r="I4" i="13" s="1"/>
  <c r="I3" i="13"/>
  <c r="F3" i="13"/>
  <c r="I76" i="14" l="1"/>
  <c r="I18" i="14"/>
  <c r="J40" i="14"/>
  <c r="J61" i="14"/>
  <c r="J14" i="14"/>
  <c r="I72" i="14" s="1"/>
  <c r="J43" i="14"/>
  <c r="I16" i="13"/>
  <c r="I18" i="13"/>
  <c r="F26" i="13"/>
  <c r="F16" i="13"/>
  <c r="F27" i="13" s="1"/>
  <c r="I26" i="13" l="1"/>
  <c r="I27" i="13" s="1"/>
  <c r="F92" i="5"/>
  <c r="J64" i="14"/>
  <c r="J66" i="14" l="1"/>
  <c r="J67" i="14" s="1"/>
  <c r="J65" i="14"/>
  <c r="G16" i="5" l="1"/>
  <c r="E15" i="5" l="1"/>
  <c r="E24" i="8" l="1"/>
  <c r="E6" i="8"/>
  <c r="C92" i="5" l="1"/>
  <c r="E73" i="5" l="1"/>
  <c r="E72" i="5"/>
  <c r="E55" i="5"/>
  <c r="E49" i="5"/>
  <c r="E26" i="5"/>
  <c r="E20" i="5"/>
  <c r="G17" i="5" l="1"/>
  <c r="D18" i="5" l="1"/>
  <c r="C18" i="5"/>
  <c r="E18" i="5"/>
  <c r="G95" i="5" l="1"/>
  <c r="G94" i="5"/>
  <c r="G76" i="5"/>
  <c r="G75" i="5"/>
  <c r="G74" i="5"/>
  <c r="G69" i="5"/>
  <c r="G66" i="5"/>
  <c r="G65" i="5"/>
  <c r="G64" i="5"/>
  <c r="G60" i="5"/>
  <c r="G57" i="5"/>
  <c r="G56" i="5"/>
  <c r="G54" i="5"/>
  <c r="G45" i="5"/>
  <c r="G32" i="5"/>
  <c r="G31" i="5"/>
  <c r="G30" i="5"/>
  <c r="G21" i="5"/>
  <c r="G12" i="5"/>
  <c r="G8" i="5"/>
  <c r="G6" i="5"/>
  <c r="G49" i="8" l="1"/>
  <c r="G48" i="8"/>
  <c r="G40" i="8"/>
  <c r="G38" i="8"/>
  <c r="G37" i="8"/>
  <c r="G36" i="8"/>
  <c r="G35" i="8"/>
  <c r="G34" i="8"/>
  <c r="G31" i="8"/>
  <c r="G30" i="8"/>
  <c r="G29" i="8"/>
  <c r="G28" i="8"/>
  <c r="G25" i="8"/>
  <c r="G22" i="8"/>
  <c r="G21" i="8"/>
  <c r="G20" i="8"/>
  <c r="G19" i="8"/>
  <c r="G16" i="8"/>
  <c r="G15" i="8"/>
  <c r="G14" i="8"/>
  <c r="F47" i="8" l="1"/>
  <c r="G47" i="8" s="1"/>
  <c r="F46" i="8"/>
  <c r="G46" i="8" s="1"/>
  <c r="G43" i="8"/>
  <c r="G39" i="8"/>
  <c r="G82" i="5"/>
  <c r="G81" i="5"/>
  <c r="G80" i="5"/>
  <c r="G79" i="5"/>
  <c r="F73" i="5"/>
  <c r="G73" i="5" s="1"/>
  <c r="F72" i="5"/>
  <c r="G72" i="5" s="1"/>
  <c r="G61" i="5"/>
  <c r="G59" i="5"/>
  <c r="G58" i="5"/>
  <c r="G51" i="5"/>
  <c r="G50" i="5"/>
  <c r="F49" i="5"/>
  <c r="G49" i="5" s="1"/>
  <c r="G48" i="5"/>
  <c r="G43" i="5"/>
  <c r="G42" i="5"/>
  <c r="G39" i="5"/>
  <c r="G38" i="5"/>
  <c r="G37" i="5"/>
  <c r="G34" i="5"/>
  <c r="G33" i="5"/>
  <c r="G27" i="5"/>
  <c r="F26" i="5"/>
  <c r="G26" i="5" s="1"/>
  <c r="G25" i="5"/>
  <c r="G22" i="5"/>
  <c r="F20" i="5"/>
  <c r="G20" i="5" s="1"/>
  <c r="G14" i="5"/>
  <c r="G13" i="5"/>
  <c r="G11" i="5"/>
  <c r="G10" i="5"/>
  <c r="G9" i="5"/>
  <c r="G7" i="5"/>
  <c r="G5" i="5"/>
  <c r="G4" i="5"/>
  <c r="F55" i="5"/>
  <c r="G55" i="5" s="1"/>
  <c r="F50" i="8" l="1"/>
  <c r="G23" i="8"/>
  <c r="F24" i="8"/>
  <c r="G24" i="8" s="1"/>
  <c r="E52" i="5"/>
  <c r="F15" i="5"/>
  <c r="G15" i="5" l="1"/>
  <c r="G18" i="5" s="1"/>
  <c r="F18" i="5"/>
  <c r="B31" i="1" l="1"/>
  <c r="B30" i="1"/>
  <c r="B29" i="1"/>
  <c r="B28" i="1"/>
  <c r="B27" i="1"/>
  <c r="B26" i="1"/>
  <c r="B25" i="1"/>
  <c r="B24" i="1"/>
  <c r="G50" i="8" l="1"/>
  <c r="F44" i="8"/>
  <c r="G30" i="1" s="1"/>
  <c r="G31" i="1"/>
  <c r="F32" i="8"/>
  <c r="G28" i="1" s="1"/>
  <c r="F17" i="8"/>
  <c r="G26" i="1" s="1"/>
  <c r="F26" i="8"/>
  <c r="G27" i="1" s="1"/>
  <c r="F41" i="8"/>
  <c r="G29" i="1" s="1"/>
  <c r="E50" i="8"/>
  <c r="D50" i="8"/>
  <c r="C50" i="8"/>
  <c r="G44" i="8"/>
  <c r="E44" i="8"/>
  <c r="D44" i="8"/>
  <c r="C44" i="8"/>
  <c r="G41" i="8"/>
  <c r="E41" i="8"/>
  <c r="D41" i="8"/>
  <c r="C41" i="8"/>
  <c r="G32" i="8"/>
  <c r="E32" i="8"/>
  <c r="D32" i="8"/>
  <c r="C32" i="8"/>
  <c r="G26" i="8"/>
  <c r="E26" i="8"/>
  <c r="D26" i="8"/>
  <c r="C26" i="8"/>
  <c r="G17" i="8"/>
  <c r="E17" i="8"/>
  <c r="D17" i="8"/>
  <c r="C17" i="8"/>
  <c r="E12" i="8"/>
  <c r="D12" i="8"/>
  <c r="C12" i="8"/>
  <c r="E7" i="8"/>
  <c r="D7" i="8"/>
  <c r="C7" i="8"/>
  <c r="D51" i="8" l="1"/>
  <c r="C51" i="8"/>
  <c r="E51" i="8"/>
  <c r="H12" i="1" l="1"/>
  <c r="H2" i="1"/>
  <c r="F4" i="8" l="1"/>
  <c r="F5" i="8"/>
  <c r="G5" i="8" s="1"/>
  <c r="F6" i="8"/>
  <c r="C77" i="5"/>
  <c r="F52" i="5"/>
  <c r="G4" i="8" l="1"/>
  <c r="G7" i="8" s="1"/>
  <c r="F7" i="8"/>
  <c r="G24" i="1" s="1"/>
  <c r="F77" i="5"/>
  <c r="D77" i="5"/>
  <c r="E77" i="5"/>
  <c r="G67" i="5"/>
  <c r="G83" i="5"/>
  <c r="G70" i="5"/>
  <c r="G62" i="5"/>
  <c r="G77" i="5" l="1"/>
  <c r="G23" i="5"/>
  <c r="G35" i="5"/>
  <c r="G52" i="5"/>
  <c r="G96" i="5"/>
  <c r="G40" i="5"/>
  <c r="G28" i="5"/>
  <c r="G46" i="5"/>
  <c r="F96" i="5" l="1"/>
  <c r="E96" i="5"/>
  <c r="H3" i="1" l="1"/>
  <c r="H48" i="1"/>
  <c r="F83" i="5"/>
  <c r="F70" i="5"/>
  <c r="F67" i="5"/>
  <c r="F62" i="5"/>
  <c r="F46" i="5"/>
  <c r="H39" i="1" s="1"/>
  <c r="F40" i="5"/>
  <c r="F35" i="5"/>
  <c r="H37" i="1" s="1"/>
  <c r="F28" i="5"/>
  <c r="F23" i="5"/>
  <c r="H35" i="1" s="1"/>
  <c r="D28" i="5"/>
  <c r="D40" i="5"/>
  <c r="D46" i="5"/>
  <c r="D96" i="5"/>
  <c r="D67" i="5"/>
  <c r="D70" i="5"/>
  <c r="D83" i="5"/>
  <c r="D23" i="5"/>
  <c r="D86" i="5"/>
  <c r="C70" i="5"/>
  <c r="H11" i="1"/>
  <c r="H21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E23" i="5"/>
  <c r="E28" i="5"/>
  <c r="E35" i="5"/>
  <c r="E40" i="5"/>
  <c r="E46" i="5"/>
  <c r="E62" i="5"/>
  <c r="E67" i="5"/>
  <c r="E70" i="5"/>
  <c r="C96" i="5"/>
  <c r="C86" i="5"/>
  <c r="C83" i="5"/>
  <c r="C67" i="5"/>
  <c r="C62" i="5"/>
  <c r="C52" i="5"/>
  <c r="C46" i="5"/>
  <c r="C40" i="5"/>
  <c r="C35" i="5"/>
  <c r="C28" i="5"/>
  <c r="C23" i="5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E83" i="5"/>
  <c r="D35" i="5"/>
  <c r="D52" i="5"/>
  <c r="D62" i="5"/>
  <c r="F9" i="8" l="1"/>
  <c r="G9" i="8" s="1"/>
  <c r="F11" i="8"/>
  <c r="F10" i="8"/>
  <c r="G10" i="8" s="1"/>
  <c r="C97" i="5"/>
  <c r="H45" i="1"/>
  <c r="H44" i="1"/>
  <c r="H43" i="1"/>
  <c r="H4" i="1"/>
  <c r="D97" i="5"/>
  <c r="H40" i="1"/>
  <c r="H42" i="1"/>
  <c r="H34" i="1"/>
  <c r="H41" i="1"/>
  <c r="H38" i="1"/>
  <c r="H36" i="1"/>
  <c r="H13" i="1" l="1"/>
  <c r="H14" i="1" s="1"/>
  <c r="H15" i="1" s="1"/>
  <c r="G85" i="5"/>
  <c r="H22" i="1" l="1"/>
  <c r="G92" i="5"/>
  <c r="H47" i="1" l="1"/>
  <c r="H49" i="1" s="1"/>
  <c r="E86" i="5"/>
  <c r="E97" i="5" s="1"/>
  <c r="G86" i="5" l="1"/>
  <c r="G97" i="5" s="1"/>
  <c r="F86" i="5"/>
  <c r="F97" i="5" s="1"/>
  <c r="G11" i="8" l="1"/>
  <c r="G12" i="8" s="1"/>
  <c r="G51" i="8" s="1"/>
  <c r="F12" i="8"/>
  <c r="G25" i="1" s="1"/>
  <c r="G32" i="1" s="1"/>
  <c r="G50" i="1" s="1"/>
  <c r="G51" i="1" s="1"/>
  <c r="F5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 Cortez</author>
  </authors>
  <commentList>
    <comment ref="F22" authorId="0" shapeId="0" xr:uid="{C8D57158-3BE0-42C6-ADD5-E8A49730596E}">
      <text>
        <r>
          <rPr>
            <b/>
            <sz val="9"/>
            <color indexed="81"/>
            <rFont val="Tahoma"/>
            <charset val="1"/>
          </rPr>
          <t>Mary Cortez:</t>
        </r>
        <r>
          <rPr>
            <sz val="9"/>
            <color indexed="81"/>
            <rFont val="Tahoma"/>
            <charset val="1"/>
          </rPr>
          <t xml:space="preserve">
Rio intercepting drain, Mesa Spur Drain by the Loop, Clint Spur Drain</t>
        </r>
      </text>
    </comment>
    <comment ref="E23" authorId="0" shapeId="0" xr:uid="{40E009FC-3538-4357-A653-2C3CA8876B0B}">
      <text>
        <r>
          <rPr>
            <b/>
            <sz val="9"/>
            <color indexed="81"/>
            <rFont val="Tahoma"/>
            <charset val="1"/>
          </rPr>
          <t>Mary Cortez:</t>
        </r>
        <r>
          <rPr>
            <sz val="9"/>
            <color indexed="81"/>
            <rFont val="Tahoma"/>
            <charset val="1"/>
          </rPr>
          <t xml:space="preserve">
County of El Paso $506,500</t>
        </r>
      </text>
    </comment>
    <comment ref="F23" authorId="0" shapeId="0" xr:uid="{B236069F-5F08-4731-8A55-6EE37CE89C87}">
      <text>
        <r>
          <rPr>
            <b/>
            <sz val="9"/>
            <color indexed="81"/>
            <rFont val="Tahoma"/>
            <charset val="1"/>
          </rPr>
          <t>Mary Cortez:</t>
        </r>
        <r>
          <rPr>
            <sz val="9"/>
            <color indexed="81"/>
            <rFont val="Tahoma"/>
            <charset val="1"/>
          </rPr>
          <t xml:space="preserve">
County of El Paso $510,000
$240,000 other use fees</t>
        </r>
      </text>
    </comment>
    <comment ref="D25" authorId="0" shapeId="0" xr:uid="{DA0A3DA5-FAC5-4B2D-AFDF-BEFB169B5601}">
      <text>
        <r>
          <rPr>
            <b/>
            <sz val="9"/>
            <color indexed="81"/>
            <rFont val="Tahoma"/>
            <charset val="1"/>
          </rPr>
          <t>Mary Cortez:</t>
        </r>
        <r>
          <rPr>
            <sz val="9"/>
            <color indexed="81"/>
            <rFont val="Tahoma"/>
            <charset val="1"/>
          </rPr>
          <t xml:space="preserve">
Drain Maintenance $535,132
PMI 13,000
OneGas 5,000</t>
        </r>
      </text>
    </comment>
    <comment ref="F25" authorId="0" shapeId="0" xr:uid="{C21BA082-C990-4225-89AA-E1ADD5170CA1}">
      <text>
        <r>
          <rPr>
            <b/>
            <sz val="9"/>
            <color indexed="81"/>
            <rFont val="Tahoma"/>
            <charset val="1"/>
          </rPr>
          <t>Mary Cortez:</t>
        </r>
        <r>
          <rPr>
            <sz val="9"/>
            <color indexed="81"/>
            <rFont val="Tahoma"/>
            <charset val="1"/>
          </rPr>
          <t xml:space="preserve">
could increase with drain maint annual fee</t>
        </r>
      </text>
    </comment>
    <comment ref="F29" authorId="0" shapeId="0" xr:uid="{32388E9A-D201-4BA6-9752-6A2A1160B140}">
      <text>
        <r>
          <rPr>
            <b/>
            <sz val="9"/>
            <color indexed="81"/>
            <rFont val="Tahoma"/>
            <charset val="1"/>
          </rPr>
          <t>Mary Cortez:</t>
        </r>
        <r>
          <rPr>
            <sz val="9"/>
            <color indexed="81"/>
            <rFont val="Tahoma"/>
            <charset val="1"/>
          </rPr>
          <t xml:space="preserve">
could increase with finalization of drain maint. contract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 Cortez</author>
  </authors>
  <commentList>
    <comment ref="C51" authorId="0" shapeId="0" xr:uid="{0F928C39-092E-4335-8B27-7AD26D0C0EF4}">
      <text>
        <r>
          <rPr>
            <b/>
            <sz val="9"/>
            <color indexed="81"/>
            <rFont val="Tahoma"/>
            <family val="2"/>
          </rPr>
          <t>Mary Cortez:</t>
        </r>
        <r>
          <rPr>
            <sz val="9"/>
            <color indexed="81"/>
            <rFont val="Tahoma"/>
            <family val="2"/>
          </rPr>
          <t xml:space="preserve">
4,239,596-104,522</t>
        </r>
      </text>
    </comment>
    <comment ref="C57" authorId="0" shapeId="0" xr:uid="{0592B0F3-B220-450C-8360-38C327F17445}">
      <text>
        <r>
          <rPr>
            <b/>
            <sz val="9"/>
            <color indexed="81"/>
            <rFont val="Tahoma"/>
            <charset val="1"/>
          </rPr>
          <t>Mary Cortez:</t>
        </r>
        <r>
          <rPr>
            <sz val="9"/>
            <color indexed="81"/>
            <rFont val="Tahoma"/>
            <charset val="1"/>
          </rPr>
          <t xml:space="preserve">
50001-85,967.20</t>
        </r>
      </text>
    </comment>
    <comment ref="C61" authorId="0" shapeId="0" xr:uid="{74636DC7-6B66-4B97-A8E1-11FE605A7070}">
      <text>
        <r>
          <rPr>
            <b/>
            <sz val="9"/>
            <color indexed="81"/>
            <rFont val="Tahoma"/>
            <charset val="1"/>
          </rPr>
          <t>Mary Cortez:</t>
        </r>
        <r>
          <rPr>
            <sz val="9"/>
            <color indexed="81"/>
            <rFont val="Tahoma"/>
            <charset val="1"/>
          </rPr>
          <t xml:space="preserve">
add from 50001 75,586.01</t>
        </r>
      </text>
    </comment>
    <comment ref="F79" authorId="0" shapeId="0" xr:uid="{8168742C-80B7-4E89-84EF-9E5D61CE703D}">
      <text>
        <r>
          <rPr>
            <b/>
            <sz val="9"/>
            <color indexed="81"/>
            <rFont val="Tahoma"/>
            <family val="2"/>
          </rPr>
          <t>Mary Cortez:</t>
        </r>
        <r>
          <rPr>
            <sz val="9"/>
            <color indexed="81"/>
            <rFont val="Tahoma"/>
            <family val="2"/>
          </rPr>
          <t xml:space="preserve">
15% rate increase</t>
        </r>
      </text>
    </comment>
    <comment ref="F81" authorId="0" shapeId="0" xr:uid="{159F5EB6-2B3F-40A3-B033-4DF35FB4BFE7}">
      <text>
        <r>
          <rPr>
            <b/>
            <sz val="9"/>
            <color indexed="81"/>
            <rFont val="Tahoma"/>
            <charset val="1"/>
          </rPr>
          <t>Mary Cortez:</t>
        </r>
        <r>
          <rPr>
            <sz val="9"/>
            <color indexed="81"/>
            <rFont val="Tahoma"/>
            <charset val="1"/>
          </rPr>
          <t xml:space="preserve">
rate decrease from 4.15% to 4.08%</t>
        </r>
      </text>
    </comment>
    <comment ref="C88" authorId="0" shapeId="0" xr:uid="{BCD99868-6770-46F5-9447-A4392CD76774}">
      <text>
        <r>
          <rPr>
            <b/>
            <sz val="9"/>
            <color indexed="81"/>
            <rFont val="Tahoma"/>
            <charset val="1"/>
          </rPr>
          <t>Mary Cortez:</t>
        </r>
        <r>
          <rPr>
            <sz val="9"/>
            <color indexed="81"/>
            <rFont val="Tahoma"/>
            <charset val="1"/>
          </rPr>
          <t xml:space="preserve">
remove- 85,967.20 for Herbicide
remove-75,586 for Water Dist.</t>
        </r>
      </text>
    </comment>
    <comment ref="C90" authorId="0" shapeId="0" xr:uid="{2D84B566-3965-4DDF-A644-4F2CFA5889E3}">
      <text>
        <r>
          <rPr>
            <b/>
            <sz val="9"/>
            <color indexed="81"/>
            <rFont val="Tahoma"/>
            <charset val="1"/>
          </rPr>
          <t>Mary Cortez:</t>
        </r>
        <r>
          <rPr>
            <sz val="9"/>
            <color indexed="81"/>
            <rFont val="Tahoma"/>
            <charset val="1"/>
          </rPr>
          <t xml:space="preserve">
security service, dumptrucks, disinfecting Riverside Canal</t>
        </r>
      </text>
    </comment>
  </commentList>
</comments>
</file>

<file path=xl/sharedStrings.xml><?xml version="1.0" encoding="utf-8"?>
<sst xmlns="http://schemas.openxmlformats.org/spreadsheetml/2006/main" count="316" uniqueCount="239">
  <si>
    <t>acre</t>
  </si>
  <si>
    <t>acre-foot</t>
  </si>
  <si>
    <t>Land Assessment</t>
  </si>
  <si>
    <t xml:space="preserve"> </t>
  </si>
  <si>
    <t>acre-feet</t>
  </si>
  <si>
    <t>Total</t>
  </si>
  <si>
    <t>Description</t>
  </si>
  <si>
    <t>TOTAL</t>
  </si>
  <si>
    <t>Subtotal</t>
  </si>
  <si>
    <t>Budget</t>
  </si>
  <si>
    <t>To Date</t>
  </si>
  <si>
    <t>Final</t>
  </si>
  <si>
    <t>Balance</t>
  </si>
  <si>
    <t>40100 - Land Assessments</t>
  </si>
  <si>
    <t>40150 - Water Use Assessments</t>
  </si>
  <si>
    <t>40200 - Other Assessment Fees</t>
  </si>
  <si>
    <t>40210 - Licensing Fees</t>
  </si>
  <si>
    <t>40250 - Contract Revenue</t>
  </si>
  <si>
    <t>40300 - Administrative Revenue</t>
  </si>
  <si>
    <t>40400 - Special &amp; Capital Projects</t>
  </si>
  <si>
    <t>40500 - Reimbursement Revenue</t>
  </si>
  <si>
    <t>60200 - Contract Services</t>
  </si>
  <si>
    <t>60300 - Consultant Fees</t>
  </si>
  <si>
    <t>60500 - Governmental Fees</t>
  </si>
  <si>
    <t>60600 - Insurance Expense</t>
  </si>
  <si>
    <t>60700 - Legal Fees</t>
  </si>
  <si>
    <t>60900 - Payroll Expense</t>
  </si>
  <si>
    <t>61000 - Repair and Maintenance</t>
  </si>
  <si>
    <t>61100 - Equipment/Vehicle Maintenance</t>
  </si>
  <si>
    <t>61300 - Licensing</t>
  </si>
  <si>
    <t>61400 - Employee Allowances</t>
  </si>
  <si>
    <t>61500 - Capital Assets (see attached Sched. A)</t>
  </si>
  <si>
    <t>61200 - Reimburseable Expenses</t>
  </si>
  <si>
    <t>60100 - Administrative</t>
  </si>
  <si>
    <t>Row</t>
  </si>
  <si>
    <t>61700 - Well Maintenance and Fuel</t>
  </si>
  <si>
    <t>Construction</t>
  </si>
  <si>
    <t>Engineering</t>
  </si>
  <si>
    <t>each</t>
  </si>
  <si>
    <t>Grand Total</t>
  </si>
  <si>
    <t>Telemetry</t>
  </si>
  <si>
    <t>40101 EPCWID Land Assessment</t>
  </si>
  <si>
    <t>40102 PSB/LVWD Land Assessments</t>
  </si>
  <si>
    <t>40103  PSB/LVWD Owned Assessments</t>
  </si>
  <si>
    <t>40151  EPCWID Water Assessments</t>
  </si>
  <si>
    <t>40152  PSB/LVWD Assignments - Water  Assess</t>
  </si>
  <si>
    <t>40153  PSB/LVWD Owned Land - Water Assess</t>
  </si>
  <si>
    <t>40201  Accounting Service Charge</t>
  </si>
  <si>
    <t>40202 Lease Maintenance Fees-LVWD/PSB</t>
  </si>
  <si>
    <t>40203 PSB/LVWD Assignment Processing Fees</t>
  </si>
  <si>
    <t>40211  Application Fees</t>
  </si>
  <si>
    <t>40212  Construction Water Fees</t>
  </si>
  <si>
    <t>40213  Dewatering Fees</t>
  </si>
  <si>
    <t>40217  Waste Water Conveyance Fees</t>
  </si>
  <si>
    <t>40251  3rd Party Implementing Contract</t>
  </si>
  <si>
    <t>40252  Drain Maintenance Fees</t>
  </si>
  <si>
    <t>40253  Exempt Contract Water Assess</t>
  </si>
  <si>
    <t>40254  LaTuna Contract</t>
  </si>
  <si>
    <t>40302  Deposit Overage/Under</t>
  </si>
  <si>
    <t>40303  Investment Interest Revenue</t>
  </si>
  <si>
    <t>40304  Miscellaneous Fees</t>
  </si>
  <si>
    <t>40305  NSF Fees</t>
  </si>
  <si>
    <t>40306  Penalty &amp; Interest</t>
  </si>
  <si>
    <t>40307  Vendor Discount</t>
  </si>
  <si>
    <t>40501  Collection Fees</t>
  </si>
  <si>
    <t>40503  Fuel Tax Reimbursement</t>
  </si>
  <si>
    <t>40504  Reimburseable Revenue - Other</t>
  </si>
  <si>
    <t>40505  Turnout Installation Fees</t>
  </si>
  <si>
    <t>60101  Advertising</t>
  </si>
  <si>
    <t>60102  Alarm/Fire System</t>
  </si>
  <si>
    <t>60103  Audit</t>
  </si>
  <si>
    <t>60104  Bank Charges</t>
  </si>
  <si>
    <t>60105  Director Fees (Mileage)</t>
  </si>
  <si>
    <t>60106  Dues/Subscriptions</t>
  </si>
  <si>
    <t>60107  Meeting Expense</t>
  </si>
  <si>
    <t>60108  Office Expense</t>
  </si>
  <si>
    <t>60109  Safety/Loss Prevention</t>
  </si>
  <si>
    <t>60110  Telephone</t>
  </si>
  <si>
    <t>60111  Utilities</t>
  </si>
  <si>
    <t>60112  Sales Expense</t>
  </si>
  <si>
    <t>60113  Election Expense</t>
  </si>
  <si>
    <t>60201  Contract Services - Other</t>
  </si>
  <si>
    <t>60202  Tower Leasing</t>
  </si>
  <si>
    <t>60203  Trash Removal/Dumpsters</t>
  </si>
  <si>
    <t>60301  Computer Services</t>
  </si>
  <si>
    <t>60302  CPA Services</t>
  </si>
  <si>
    <t>60303  Professional Engineering Fees</t>
  </si>
  <si>
    <t>60501  Joint Powers Agreement</t>
  </si>
  <si>
    <t>60502  TCEQ Municipal Water Fee</t>
  </si>
  <si>
    <t>60503  Texas Employment Commission</t>
  </si>
  <si>
    <t>60504  USBR Dam Maintenance</t>
  </si>
  <si>
    <t>60505  USBR Rio Grande Project</t>
  </si>
  <si>
    <t>60601  GL Package/Automobile</t>
  </si>
  <si>
    <t>60602  Surety Bonds</t>
  </si>
  <si>
    <t>60603  Workers Compensation</t>
  </si>
  <si>
    <t>60701  Legal - Other</t>
  </si>
  <si>
    <t xml:space="preserve">60702  Legal General </t>
  </si>
  <si>
    <t>60704  Legal Realty</t>
  </si>
  <si>
    <t>60901  Payroll Related Expense</t>
  </si>
  <si>
    <t>60902  Sale of Leave</t>
  </si>
  <si>
    <t>60904  Wages - Regular</t>
  </si>
  <si>
    <t>61001  Building Maintenance</t>
  </si>
  <si>
    <t>61002  Drain Maintenance</t>
  </si>
  <si>
    <t>61003  Herbicide - Drains</t>
  </si>
  <si>
    <t>61004  Herbicide - Water Distribution System</t>
  </si>
  <si>
    <t>61005  Misc Material</t>
  </si>
  <si>
    <t>61006  Telemetry Operating Expense</t>
  </si>
  <si>
    <t>61007  Tool Replacement &amp; Repair</t>
  </si>
  <si>
    <t>61008  Water Distribution System</t>
  </si>
  <si>
    <t>61101  Fuel and Lubricants</t>
  </si>
  <si>
    <t>61103  Parts/Filters/Tires</t>
  </si>
  <si>
    <t>61204  Other Reimburseables</t>
  </si>
  <si>
    <t>61301  Design</t>
  </si>
  <si>
    <t>61302  GIS Project / Software</t>
  </si>
  <si>
    <t>61303  Permits</t>
  </si>
  <si>
    <t>61304  Surveys</t>
  </si>
  <si>
    <t>61305  Real Property Expense</t>
  </si>
  <si>
    <t>** $980,875 = $675,000 (Acct #61600) and $305,875 (Acct #61204); $200,000 Reimburse Revenue (Acct #40401) &amp; $105,875 Reimburse Revenue (Acct #40504)</t>
  </si>
  <si>
    <t>40308  Sale of Salvage and Surplus Items</t>
  </si>
  <si>
    <t>EXPENSES</t>
  </si>
  <si>
    <t>61401  Group Medical/Life/Disability</t>
  </si>
  <si>
    <t>61402  Professional Development</t>
  </si>
  <si>
    <t>61403  Retirement</t>
  </si>
  <si>
    <t>61404  Uniform/Boot Allowance</t>
  </si>
  <si>
    <t>61701 Fuel &amp; Lubricants</t>
  </si>
  <si>
    <t>61702 Well Maintenance</t>
  </si>
  <si>
    <t>REVENUE</t>
  </si>
  <si>
    <t>Unit</t>
  </si>
  <si>
    <t>Cost</t>
  </si>
  <si>
    <t>Quantity</t>
  </si>
  <si>
    <t>61500  Capital Assets</t>
  </si>
  <si>
    <t>50001  Materials</t>
  </si>
  <si>
    <t>50003  Equipment</t>
  </si>
  <si>
    <t>50004  Contractor</t>
  </si>
  <si>
    <t>50005  Other</t>
  </si>
  <si>
    <t>50000 - Capital Projects - (see Sched. A)</t>
  </si>
  <si>
    <t>60903  Wages - Overtime (expensed in 60904)</t>
  </si>
  <si>
    <t>60703  Legal - Expert (in 60303)</t>
  </si>
  <si>
    <t>60114  Computer Hardware/Software</t>
  </si>
  <si>
    <t>40214  Real Property Income</t>
  </si>
  <si>
    <t>All cost estimates are a Rough Order of Magnitude (ROM) estimate.  Detailed cost analysis will be performed on a project-by-project basis as directed by Board and/or GM.  The Total Cost represents the ROM cost for turn key project such as the cost if the project was put out for bid and constructed by a third party.  The Materials Cost represents the cost for the District to purchase supplies, materials, lease special equipment, hire subcontractors, or any other project cost that the District pays to a vendor.</t>
  </si>
  <si>
    <t>NOTES:</t>
  </si>
  <si>
    <t>Net Total</t>
  </si>
  <si>
    <t>Flumes</t>
  </si>
  <si>
    <t>Culverts</t>
  </si>
  <si>
    <t>Turnouts</t>
  </si>
  <si>
    <t>City Drain Program</t>
  </si>
  <si>
    <t>Reimbursments</t>
  </si>
  <si>
    <t xml:space="preserve"> Total</t>
  </si>
  <si>
    <t>Engineering and Admin (5%)</t>
  </si>
  <si>
    <t>ea</t>
  </si>
  <si>
    <t>Upgrade Home Office - Water Accounting</t>
  </si>
  <si>
    <t>Yards, Buildings, Administration</t>
  </si>
  <si>
    <t>Flood Gates and Flood Monitoring</t>
  </si>
  <si>
    <t>Telemetry Sites</t>
  </si>
  <si>
    <t>ft</t>
  </si>
  <si>
    <t xml:space="preserve"> Various Canals as time allows</t>
  </si>
  <si>
    <t>Uniform Grade Control of Canal Banks</t>
  </si>
  <si>
    <t>Repair/Improvement of O&amp;M Roads</t>
  </si>
  <si>
    <t>Pipelines</t>
  </si>
  <si>
    <t>(materials)</t>
  </si>
  <si>
    <t>Check Replacements/Flood Wasteway/Culverts</t>
  </si>
  <si>
    <t>City Drain Maintenance Program Expense</t>
  </si>
  <si>
    <t>(2 per year)</t>
  </si>
  <si>
    <t>Automatic Gates</t>
  </si>
  <si>
    <t>(5 per year)</t>
  </si>
  <si>
    <t>Flume Replacement</t>
  </si>
  <si>
    <t>Drain Culvert Replacement</t>
  </si>
  <si>
    <t>Turnout Replacement</t>
  </si>
  <si>
    <t>Wasteways</t>
  </si>
  <si>
    <t>Materials</t>
  </si>
  <si>
    <t>Project</t>
  </si>
  <si>
    <t>Total Cost</t>
  </si>
  <si>
    <t>Unit Cost</t>
  </si>
  <si>
    <t>Location</t>
  </si>
  <si>
    <t>Year</t>
  </si>
  <si>
    <t>#Jobs</t>
  </si>
  <si>
    <t>acres (effective)</t>
  </si>
  <si>
    <t>40216  Use/Damage License Fees</t>
  </si>
  <si>
    <t>40218  Annual Use License Fees</t>
  </si>
  <si>
    <t xml:space="preserve"> FSA Account 10/31/2019</t>
  </si>
  <si>
    <t>None</t>
  </si>
  <si>
    <t>Socorro Ponds Misc. Cleanup and Earthwork</t>
  </si>
  <si>
    <t>USBR Grants</t>
  </si>
  <si>
    <t>TWDB Grants</t>
  </si>
  <si>
    <t>Canal Lining</t>
  </si>
  <si>
    <t>61102  GPS/Radio Repair/Fees (58102)</t>
  </si>
  <si>
    <t xml:space="preserve">                                            Reserve Funds Accounts CD 10/31/2021</t>
  </si>
  <si>
    <t>Checking Account 10/31/2021</t>
  </si>
  <si>
    <t>Petty Cash 10/31/2021</t>
  </si>
  <si>
    <t>WestStar Checking Account 10/31/2021</t>
  </si>
  <si>
    <t>Total Available Funds 10/31/2021</t>
  </si>
  <si>
    <t>Estimate of Change In Available Funds Since 10/31/2021</t>
  </si>
  <si>
    <t>Estimate of Available Funds on 10/31/ 2022</t>
  </si>
  <si>
    <t xml:space="preserve">                                                Reserve Funds Accounts CD 08/31/2022</t>
  </si>
  <si>
    <t xml:space="preserve"> Checking Account 08/31/2022</t>
  </si>
  <si>
    <t>Petty Cash 08/31/22</t>
  </si>
  <si>
    <t>Money Market Checking Account 08/31/22</t>
  </si>
  <si>
    <t xml:space="preserve"> Total Available Funds 08/31/22</t>
  </si>
  <si>
    <t>Estimated Income for Sept-Oct 2022</t>
  </si>
  <si>
    <t>Estimated Expenses for Sept-Oct 2022</t>
  </si>
  <si>
    <t>Estimated Income - Expense for Sept-Oct 2022</t>
  </si>
  <si>
    <t>Estimated 2022-2023 Revenues</t>
  </si>
  <si>
    <t>Estimated 2022-2023 Expenses</t>
  </si>
  <si>
    <t>Estimated Funds Balance 10/31/2023</t>
  </si>
  <si>
    <t>Change in Funds 2022 to 2023 Increase / (Decrease)</t>
  </si>
  <si>
    <t xml:space="preserve">Schedule A - 2022-23 Capital Equipment Purchases and Construction Projects </t>
  </si>
  <si>
    <t>08/31/22  Actuals</t>
  </si>
  <si>
    <t>Projected Revenue 10/31/22</t>
  </si>
  <si>
    <t>2021-2022  Budget</t>
  </si>
  <si>
    <t>Proposed Budget FY2022-2023</t>
  </si>
  <si>
    <t>Difference 2021-2022 to 2022-2023</t>
  </si>
  <si>
    <t>Projected Expenses 10/31/22</t>
  </si>
  <si>
    <t>2021-2022 Budget</t>
  </si>
  <si>
    <t>410 Backhoe</t>
  </si>
  <si>
    <t>2500 Pickups Dual Cab 4W</t>
  </si>
  <si>
    <t>2500 Pickups  Single Cab 2W</t>
  </si>
  <si>
    <t>1500 Tahoe 4W</t>
  </si>
  <si>
    <t xml:space="preserve">1 yd Wheeled Excavator  </t>
  </si>
  <si>
    <t>4000 gal Water Truck</t>
  </si>
  <si>
    <t>Rock Crusher - Attachment</t>
  </si>
  <si>
    <t>15 yd End Dump Truck</t>
  </si>
  <si>
    <t xml:space="preserve">45' XC 10 Ton Boom Truck Used </t>
  </si>
  <si>
    <t>4 Col. Vehicle Lift 28 Ton</t>
  </si>
  <si>
    <t>Auto Crane (1 Ton Truck mount) 5 Ton</t>
  </si>
  <si>
    <t>Alum. Automatic MIG welder for Gates</t>
  </si>
  <si>
    <t>7th Year Proposed Projects (see attached items)</t>
  </si>
  <si>
    <t>Year 7 of 10 :  2022 / 2023</t>
  </si>
  <si>
    <t>Franklin Feeder</t>
  </si>
  <si>
    <t>(contractor)</t>
  </si>
  <si>
    <t>Riverside Phase III</t>
  </si>
  <si>
    <t>Montoya Phase II</t>
  </si>
  <si>
    <t>Material</t>
  </si>
  <si>
    <t>Contractor</t>
  </si>
  <si>
    <t>Labor</t>
  </si>
  <si>
    <t xml:space="preserve">Renovation of Archive Rooms </t>
  </si>
  <si>
    <t>Contingencies (5%)</t>
  </si>
  <si>
    <t>Water Delivery</t>
  </si>
  <si>
    <t>Analysis of Available Funds for 2022-2023 APPROVED 09/16/22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</si>
</sst>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color rgb="FF1F497D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7">
    <xf numFmtId="0" fontId="0" fillId="0" borderId="0" xfId="0"/>
    <xf numFmtId="164" fontId="0" fillId="0" borderId="0" xfId="0" applyNumberFormat="1"/>
    <xf numFmtId="5" fontId="0" fillId="0" borderId="0" xfId="0" applyNumberFormat="1"/>
    <xf numFmtId="167" fontId="0" fillId="0" borderId="0" xfId="4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6" fontId="0" fillId="0" borderId="5" xfId="1" applyNumberFormat="1" applyFont="1" applyBorder="1"/>
    <xf numFmtId="0" fontId="0" fillId="0" borderId="6" xfId="0" applyBorder="1"/>
    <xf numFmtId="167" fontId="0" fillId="0" borderId="7" xfId="4" applyNumberFormat="1" applyFont="1" applyBorder="1"/>
    <xf numFmtId="167" fontId="0" fillId="0" borderId="8" xfId="4" applyNumberFormat="1" applyFont="1" applyBorder="1"/>
    <xf numFmtId="167" fontId="0" fillId="0" borderId="9" xfId="4" applyNumberFormat="1" applyFont="1" applyBorder="1"/>
    <xf numFmtId="0" fontId="0" fillId="2" borderId="10" xfId="0" applyFill="1" applyBorder="1"/>
    <xf numFmtId="0" fontId="0" fillId="2" borderId="11" xfId="0" applyFill="1" applyBorder="1"/>
    <xf numFmtId="164" fontId="0" fillId="2" borderId="11" xfId="0" applyNumberFormat="1" applyFill="1" applyBorder="1"/>
    <xf numFmtId="9" fontId="0" fillId="2" borderId="12" xfId="9" applyFont="1" applyFill="1" applyBorder="1"/>
    <xf numFmtId="0" fontId="0" fillId="0" borderId="13" xfId="0" applyBorder="1"/>
    <xf numFmtId="164" fontId="0" fillId="0" borderId="1" xfId="0" applyNumberFormat="1" applyBorder="1"/>
    <xf numFmtId="9" fontId="0" fillId="0" borderId="14" xfId="9" applyFont="1" applyBorder="1"/>
    <xf numFmtId="165" fontId="0" fillId="0" borderId="3" xfId="0" applyNumberFormat="1" applyBorder="1"/>
    <xf numFmtId="164" fontId="0" fillId="0" borderId="3" xfId="0" applyNumberFormat="1" applyBorder="1"/>
    <xf numFmtId="167" fontId="4" fillId="0" borderId="15" xfId="4" applyNumberFormat="1" applyFont="1" applyBorder="1"/>
    <xf numFmtId="165" fontId="0" fillId="0" borderId="16" xfId="0" applyNumberFormat="1" applyBorder="1"/>
    <xf numFmtId="165" fontId="3" fillId="0" borderId="17" xfId="0" applyNumberFormat="1" applyFont="1" applyBorder="1"/>
    <xf numFmtId="167" fontId="0" fillId="0" borderId="18" xfId="4" applyNumberFormat="1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8" fillId="0" borderId="0" xfId="8" applyFont="1" applyFill="1"/>
    <xf numFmtId="0" fontId="8" fillId="0" borderId="0" xfId="8" applyFont="1"/>
    <xf numFmtId="0" fontId="7" fillId="0" borderId="0" xfId="8" applyFont="1"/>
    <xf numFmtId="164" fontId="8" fillId="0" borderId="0" xfId="8" applyNumberFormat="1" applyFont="1"/>
    <xf numFmtId="164" fontId="7" fillId="0" borderId="3" xfId="8" applyNumberFormat="1" applyFont="1" applyFill="1" applyBorder="1" applyAlignment="1">
      <alignment horizontal="center" wrapText="1"/>
    </xf>
    <xf numFmtId="167" fontId="3" fillId="0" borderId="15" xfId="4" applyNumberFormat="1" applyFont="1" applyBorder="1"/>
    <xf numFmtId="164" fontId="0" fillId="0" borderId="8" xfId="0" applyNumberFormat="1" applyBorder="1"/>
    <xf numFmtId="167" fontId="0" fillId="0" borderId="16" xfId="4" applyNumberFormat="1" applyFont="1" applyBorder="1"/>
    <xf numFmtId="167" fontId="3" fillId="0" borderId="17" xfId="4" applyNumberFormat="1" applyFont="1" applyBorder="1"/>
    <xf numFmtId="167" fontId="4" fillId="0" borderId="5" xfId="4" applyNumberFormat="1" applyFont="1" applyBorder="1"/>
    <xf numFmtId="167" fontId="8" fillId="0" borderId="5" xfId="4" applyNumberFormat="1" applyFont="1" applyFill="1" applyBorder="1" applyAlignment="1">
      <alignment horizontal="right"/>
    </xf>
    <xf numFmtId="0" fontId="8" fillId="0" borderId="18" xfId="8" applyFont="1" applyFill="1" applyBorder="1"/>
    <xf numFmtId="167" fontId="3" fillId="0" borderId="22" xfId="4" applyNumberFormat="1" applyFont="1" applyBorder="1"/>
    <xf numFmtId="167" fontId="4" fillId="0" borderId="22" xfId="4" applyNumberFormat="1" applyFont="1" applyBorder="1"/>
    <xf numFmtId="167" fontId="4" fillId="0" borderId="14" xfId="4" applyNumberFormat="1" applyFont="1" applyBorder="1"/>
    <xf numFmtId="43" fontId="0" fillId="0" borderId="3" xfId="1" applyNumberFormat="1" applyFont="1" applyBorder="1"/>
    <xf numFmtId="0" fontId="7" fillId="0" borderId="0" xfId="8" applyFont="1" applyFill="1"/>
    <xf numFmtId="0" fontId="7" fillId="0" borderId="0" xfId="8" applyFont="1" applyFill="1" applyAlignment="1">
      <alignment horizontal="center"/>
    </xf>
    <xf numFmtId="164" fontId="7" fillId="0" borderId="0" xfId="8" applyNumberFormat="1" applyFont="1" applyFill="1" applyAlignment="1">
      <alignment horizontal="center"/>
    </xf>
    <xf numFmtId="0" fontId="7" fillId="0" borderId="20" xfId="8" applyFont="1" applyFill="1" applyBorder="1"/>
    <xf numFmtId="0" fontId="8" fillId="0" borderId="21" xfId="8" applyFont="1" applyFill="1" applyBorder="1"/>
    <xf numFmtId="0" fontId="7" fillId="0" borderId="19" xfId="8" applyFont="1" applyFill="1" applyBorder="1"/>
    <xf numFmtId="0" fontId="7" fillId="0" borderId="6" xfId="8" applyFont="1" applyFill="1" applyBorder="1"/>
    <xf numFmtId="0" fontId="7" fillId="0" borderId="15" xfId="8" applyFont="1" applyFill="1" applyBorder="1" applyAlignment="1">
      <alignment horizontal="right"/>
    </xf>
    <xf numFmtId="0" fontId="7" fillId="0" borderId="4" xfId="8" applyFont="1" applyFill="1" applyBorder="1"/>
    <xf numFmtId="0" fontId="8" fillId="0" borderId="5" xfId="8" applyFont="1" applyFill="1" applyBorder="1"/>
    <xf numFmtId="0" fontId="7" fillId="0" borderId="13" xfId="8" applyFont="1" applyFill="1" applyBorder="1"/>
    <xf numFmtId="0" fontId="8" fillId="0" borderId="1" xfId="8" applyFont="1" applyFill="1" applyBorder="1"/>
    <xf numFmtId="0" fontId="7" fillId="0" borderId="2" xfId="8" applyFont="1" applyFill="1" applyBorder="1"/>
    <xf numFmtId="0" fontId="7" fillId="0" borderId="3" xfId="8" applyFont="1" applyFill="1" applyBorder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center"/>
    </xf>
    <xf numFmtId="167" fontId="4" fillId="0" borderId="9" xfId="4" applyNumberFormat="1" applyFont="1" applyBorder="1"/>
    <xf numFmtId="0" fontId="7" fillId="3" borderId="24" xfId="8" applyFont="1" applyFill="1" applyBorder="1"/>
    <xf numFmtId="0" fontId="0" fillId="0" borderId="28" xfId="0" applyBorder="1"/>
    <xf numFmtId="5" fontId="3" fillId="0" borderId="23" xfId="0" applyNumberFormat="1" applyFont="1" applyBorder="1" applyAlignment="1">
      <alignment horizontal="right"/>
    </xf>
    <xf numFmtId="5" fontId="3" fillId="0" borderId="23" xfId="0" applyNumberFormat="1" applyFont="1" applyBorder="1"/>
    <xf numFmtId="167" fontId="8" fillId="0" borderId="50" xfId="4" applyNumberFormat="1" applyFont="1" applyFill="1" applyBorder="1" applyAlignment="1">
      <alignment horizontal="right"/>
    </xf>
    <xf numFmtId="167" fontId="3" fillId="0" borderId="8" xfId="4" applyNumberFormat="1" applyFont="1" applyBorder="1"/>
    <xf numFmtId="167" fontId="1" fillId="0" borderId="9" xfId="4" applyNumberFormat="1" applyFont="1" applyFill="1" applyBorder="1"/>
    <xf numFmtId="167" fontId="1" fillId="0" borderId="16" xfId="4" applyNumberFormat="1" applyFont="1" applyFill="1" applyBorder="1"/>
    <xf numFmtId="167" fontId="8" fillId="0" borderId="21" xfId="4" applyNumberFormat="1" applyFont="1" applyFill="1" applyBorder="1"/>
    <xf numFmtId="0" fontId="0" fillId="0" borderId="53" xfId="0" applyFill="1" applyBorder="1"/>
    <xf numFmtId="167" fontId="0" fillId="0" borderId="53" xfId="4" applyNumberFormat="1" applyFont="1" applyFill="1" applyBorder="1"/>
    <xf numFmtId="167" fontId="0" fillId="0" borderId="57" xfId="4" applyNumberFormat="1" applyFont="1" applyFill="1" applyBorder="1"/>
    <xf numFmtId="0" fontId="7" fillId="0" borderId="25" xfId="8" applyFont="1" applyFill="1" applyBorder="1" applyAlignment="1">
      <alignment horizontal="right"/>
    </xf>
    <xf numFmtId="0" fontId="0" fillId="4" borderId="37" xfId="0" applyFill="1" applyBorder="1"/>
    <xf numFmtId="0" fontId="3" fillId="4" borderId="37" xfId="0" applyFont="1" applyFill="1" applyBorder="1" applyAlignment="1">
      <alignment horizontal="right"/>
    </xf>
    <xf numFmtId="5" fontId="3" fillId="4" borderId="37" xfId="0" applyNumberFormat="1" applyFont="1" applyFill="1" applyBorder="1"/>
    <xf numFmtId="0" fontId="0" fillId="4" borderId="47" xfId="0" applyFill="1" applyBorder="1"/>
    <xf numFmtId="41" fontId="8" fillId="0" borderId="18" xfId="4" applyNumberFormat="1" applyFont="1" applyFill="1" applyBorder="1" applyAlignment="1">
      <alignment horizontal="right"/>
    </xf>
    <xf numFmtId="41" fontId="8" fillId="0" borderId="1" xfId="4" applyNumberFormat="1" applyFont="1" applyFill="1" applyBorder="1" applyAlignment="1">
      <alignment horizontal="right"/>
    </xf>
    <xf numFmtId="42" fontId="7" fillId="0" borderId="15" xfId="4" applyNumberFormat="1" applyFont="1" applyFill="1" applyBorder="1" applyAlignment="1">
      <alignment horizontal="right"/>
    </xf>
    <xf numFmtId="42" fontId="7" fillId="0" borderId="23" xfId="4" applyNumberFormat="1" applyFont="1" applyFill="1" applyBorder="1" applyAlignment="1">
      <alignment horizontal="right"/>
    </xf>
    <xf numFmtId="42" fontId="7" fillId="0" borderId="3" xfId="4" applyNumberFormat="1" applyFont="1" applyFill="1" applyBorder="1" applyAlignment="1">
      <alignment horizontal="right"/>
    </xf>
    <xf numFmtId="41" fontId="8" fillId="0" borderId="51" xfId="4" applyNumberFormat="1" applyFont="1" applyFill="1" applyBorder="1" applyAlignment="1">
      <alignment horizontal="right"/>
    </xf>
    <xf numFmtId="41" fontId="0" fillId="0" borderId="54" xfId="4" applyNumberFormat="1" applyFont="1" applyFill="1" applyBorder="1"/>
    <xf numFmtId="41" fontId="10" fillId="0" borderId="51" xfId="4" applyNumberFormat="1" applyFont="1" applyFill="1" applyBorder="1"/>
    <xf numFmtId="41" fontId="0" fillId="0" borderId="51" xfId="4" applyNumberFormat="1" applyFont="1" applyFill="1" applyBorder="1"/>
    <xf numFmtId="42" fontId="7" fillId="0" borderId="52" xfId="4" applyNumberFormat="1" applyFont="1" applyFill="1" applyBorder="1" applyAlignment="1">
      <alignment horizontal="right"/>
    </xf>
    <xf numFmtId="42" fontId="3" fillId="0" borderId="55" xfId="4" applyNumberFormat="1" applyFont="1" applyFill="1" applyBorder="1"/>
    <xf numFmtId="42" fontId="3" fillId="0" borderId="56" xfId="4" applyNumberFormat="1" applyFont="1" applyFill="1" applyBorder="1"/>
    <xf numFmtId="42" fontId="7" fillId="0" borderId="24" xfId="4" applyNumberFormat="1" applyFont="1" applyFill="1" applyBorder="1"/>
    <xf numFmtId="42" fontId="7" fillId="0" borderId="25" xfId="4" applyNumberFormat="1" applyFont="1" applyFill="1" applyBorder="1"/>
    <xf numFmtId="42" fontId="3" fillId="0" borderId="58" xfId="4" applyNumberFormat="1" applyFont="1" applyFill="1" applyBorder="1"/>
    <xf numFmtId="0" fontId="7" fillId="0" borderId="3" xfId="8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1" fontId="11" fillId="0" borderId="18" xfId="0" applyNumberFormat="1" applyFont="1" applyBorder="1"/>
    <xf numFmtId="41" fontId="8" fillId="0" borderId="21" xfId="4" applyNumberFormat="1" applyFont="1" applyFill="1" applyBorder="1" applyAlignment="1">
      <alignment horizontal="right"/>
    </xf>
    <xf numFmtId="5" fontId="1" fillId="4" borderId="1" xfId="0" applyNumberFormat="1" applyFont="1" applyFill="1" applyBorder="1"/>
    <xf numFmtId="37" fontId="1" fillId="0" borderId="18" xfId="0" applyNumberFormat="1" applyFont="1" applyBorder="1" applyAlignment="1">
      <alignment horizontal="center"/>
    </xf>
    <xf numFmtId="5" fontId="1" fillId="0" borderId="19" xfId="0" applyNumberFormat="1" applyFont="1" applyBorder="1" applyAlignment="1">
      <alignment horizontal="left"/>
    </xf>
    <xf numFmtId="41" fontId="11" fillId="0" borderId="18" xfId="0" applyNumberFormat="1" applyFont="1" applyFill="1" applyBorder="1"/>
    <xf numFmtId="0" fontId="1" fillId="0" borderId="0" xfId="0" applyFont="1"/>
    <xf numFmtId="5" fontId="1" fillId="0" borderId="39" xfId="0" applyNumberFormat="1" applyFont="1" applyBorder="1" applyAlignment="1">
      <alignment horizontal="left"/>
    </xf>
    <xf numFmtId="5" fontId="1" fillId="0" borderId="20" xfId="0" applyNumberFormat="1" applyFont="1" applyBorder="1" applyAlignment="1">
      <alignment horizontal="left"/>
    </xf>
    <xf numFmtId="0" fontId="1" fillId="0" borderId="19" xfId="0" applyFont="1" applyBorder="1" applyAlignment="1">
      <alignment wrapText="1"/>
    </xf>
    <xf numFmtId="41" fontId="11" fillId="0" borderId="18" xfId="4" applyNumberFormat="1" applyFont="1" applyFill="1" applyBorder="1"/>
    <xf numFmtId="42" fontId="0" fillId="0" borderId="0" xfId="0" applyNumberFormat="1"/>
    <xf numFmtId="167" fontId="1" fillId="0" borderId="21" xfId="4" applyNumberFormat="1" applyFont="1" applyFill="1" applyBorder="1"/>
    <xf numFmtId="167" fontId="3" fillId="0" borderId="17" xfId="4" applyNumberFormat="1" applyFont="1" applyFill="1" applyBorder="1"/>
    <xf numFmtId="167" fontId="4" fillId="0" borderId="1" xfId="4" applyNumberFormat="1" applyFont="1" applyFill="1" applyBorder="1"/>
    <xf numFmtId="167" fontId="1" fillId="0" borderId="7" xfId="4" applyNumberFormat="1" applyFont="1" applyFill="1" applyBorder="1"/>
    <xf numFmtId="166" fontId="1" fillId="0" borderId="1" xfId="1" applyNumberFormat="1" applyFont="1" applyFill="1" applyBorder="1"/>
    <xf numFmtId="167" fontId="8" fillId="0" borderId="21" xfId="4" applyNumberFormat="1" applyFont="1" applyFill="1" applyBorder="1" applyAlignment="1">
      <alignment horizontal="right"/>
    </xf>
    <xf numFmtId="167" fontId="8" fillId="0" borderId="60" xfId="4" applyNumberFormat="1" applyFont="1" applyFill="1" applyBorder="1" applyAlignment="1">
      <alignment horizontal="right"/>
    </xf>
    <xf numFmtId="41" fontId="8" fillId="0" borderId="43" xfId="4" applyNumberFormat="1" applyFont="1" applyFill="1" applyBorder="1" applyAlignment="1">
      <alignment horizontal="right"/>
    </xf>
    <xf numFmtId="0" fontId="1" fillId="0" borderId="0" xfId="10"/>
    <xf numFmtId="0" fontId="3" fillId="0" borderId="0" xfId="10" applyFont="1"/>
    <xf numFmtId="167" fontId="3" fillId="0" borderId="0" xfId="4" applyNumberFormat="1" applyFont="1"/>
    <xf numFmtId="0" fontId="3" fillId="0" borderId="0" xfId="10" applyFont="1" applyAlignment="1">
      <alignment horizontal="left"/>
    </xf>
    <xf numFmtId="167" fontId="1" fillId="0" borderId="0" xfId="4" applyNumberFormat="1"/>
    <xf numFmtId="0" fontId="1" fillId="0" borderId="0" xfId="10" applyAlignment="1">
      <alignment horizontal="left"/>
    </xf>
    <xf numFmtId="167" fontId="1" fillId="0" borderId="0" xfId="10" applyNumberFormat="1"/>
    <xf numFmtId="167" fontId="3" fillId="0" borderId="12" xfId="4" applyNumberFormat="1" applyFont="1" applyBorder="1"/>
    <xf numFmtId="167" fontId="3" fillId="0" borderId="11" xfId="4" applyNumberFormat="1" applyFont="1" applyBorder="1"/>
    <xf numFmtId="167" fontId="0" fillId="0" borderId="11" xfId="4" applyNumberFormat="1" applyFont="1" applyBorder="1"/>
    <xf numFmtId="0" fontId="1" fillId="0" borderId="11" xfId="10" applyBorder="1"/>
    <xf numFmtId="167" fontId="1" fillId="0" borderId="15" xfId="4" applyNumberFormat="1" applyBorder="1"/>
    <xf numFmtId="167" fontId="0" fillId="0" borderId="15" xfId="4" applyNumberFormat="1" applyFont="1" applyBorder="1"/>
    <xf numFmtId="0" fontId="1" fillId="0" borderId="15" xfId="10" applyBorder="1"/>
    <xf numFmtId="167" fontId="1" fillId="0" borderId="18" xfId="4" applyNumberFormat="1" applyBorder="1"/>
    <xf numFmtId="0" fontId="1" fillId="0" borderId="18" xfId="10" applyBorder="1"/>
    <xf numFmtId="167" fontId="3" fillId="0" borderId="21" xfId="4" applyNumberFormat="1" applyFont="1" applyBorder="1"/>
    <xf numFmtId="167" fontId="0" fillId="0" borderId="21" xfId="4" applyNumberFormat="1" applyFont="1" applyBorder="1"/>
    <xf numFmtId="0" fontId="1" fillId="0" borderId="21" xfId="10" applyBorder="1"/>
    <xf numFmtId="0" fontId="1" fillId="0" borderId="15" xfId="10" applyBorder="1" applyAlignment="1">
      <alignment horizontal="center"/>
    </xf>
    <xf numFmtId="0" fontId="1" fillId="0" borderId="6" xfId="10" applyBorder="1" applyAlignment="1">
      <alignment horizontal="center"/>
    </xf>
    <xf numFmtId="167" fontId="3" fillId="0" borderId="18" xfId="4" applyNumberFormat="1" applyFont="1" applyBorder="1"/>
    <xf numFmtId="0" fontId="1" fillId="0" borderId="18" xfId="10" applyBorder="1" applyAlignment="1">
      <alignment horizontal="center"/>
    </xf>
    <xf numFmtId="0" fontId="3" fillId="0" borderId="19" xfId="10" applyFont="1" applyBorder="1" applyAlignment="1">
      <alignment horizontal="center"/>
    </xf>
    <xf numFmtId="0" fontId="1" fillId="0" borderId="19" xfId="10" applyBorder="1" applyAlignment="1">
      <alignment horizontal="center"/>
    </xf>
    <xf numFmtId="167" fontId="1" fillId="4" borderId="7" xfId="4" applyNumberFormat="1" applyFill="1" applyBorder="1"/>
    <xf numFmtId="167" fontId="3" fillId="4" borderId="5" xfId="4" applyNumberFormat="1" applyFont="1" applyFill="1" applyBorder="1"/>
    <xf numFmtId="167" fontId="1" fillId="4" borderId="5" xfId="4" applyNumberFormat="1" applyFill="1" applyBorder="1"/>
    <xf numFmtId="0" fontId="1" fillId="4" borderId="5" xfId="10" applyFill="1" applyBorder="1"/>
    <xf numFmtId="0" fontId="1" fillId="0" borderId="20" xfId="10" applyBorder="1" applyAlignment="1">
      <alignment horizontal="center"/>
    </xf>
    <xf numFmtId="0" fontId="1" fillId="0" borderId="5" xfId="10" applyBorder="1"/>
    <xf numFmtId="0" fontId="3" fillId="0" borderId="5" xfId="10" applyFont="1" applyBorder="1"/>
    <xf numFmtId="0" fontId="1" fillId="0" borderId="4" xfId="10" applyBorder="1" applyAlignment="1">
      <alignment horizontal="center"/>
    </xf>
    <xf numFmtId="0" fontId="3" fillId="0" borderId="6" xfId="10" applyFont="1" applyBorder="1" applyAlignment="1">
      <alignment horizontal="center"/>
    </xf>
    <xf numFmtId="0" fontId="1" fillId="0" borderId="1" xfId="10" applyBorder="1"/>
    <xf numFmtId="0" fontId="1" fillId="0" borderId="1" xfId="10" applyBorder="1" applyAlignment="1">
      <alignment horizontal="center"/>
    </xf>
    <xf numFmtId="0" fontId="1" fillId="0" borderId="13" xfId="10" applyBorder="1" applyAlignment="1">
      <alignment horizontal="center"/>
    </xf>
    <xf numFmtId="0" fontId="3" fillId="0" borderId="5" xfId="10" applyFont="1" applyBorder="1" applyAlignment="1">
      <alignment horizontal="left"/>
    </xf>
    <xf numFmtId="167" fontId="3" fillId="0" borderId="1" xfId="4" applyNumberFormat="1" applyFont="1" applyBorder="1"/>
    <xf numFmtId="167" fontId="0" fillId="0" borderId="1" xfId="4" applyNumberFormat="1" applyFont="1" applyBorder="1"/>
    <xf numFmtId="0" fontId="16" fillId="0" borderId="18" xfId="10" applyFont="1" applyBorder="1" applyAlignment="1">
      <alignment vertical="center"/>
    </xf>
    <xf numFmtId="0" fontId="1" fillId="0" borderId="6" xfId="10" applyBorder="1"/>
    <xf numFmtId="0" fontId="1" fillId="4" borderId="22" xfId="10" applyFill="1" applyBorder="1"/>
    <xf numFmtId="0" fontId="3" fillId="4" borderId="21" xfId="10" applyFont="1" applyFill="1" applyBorder="1"/>
    <xf numFmtId="0" fontId="1" fillId="4" borderId="21" xfId="10" applyFill="1" applyBorder="1"/>
    <xf numFmtId="0" fontId="17" fillId="0" borderId="0" xfId="10" applyFont="1" applyAlignment="1">
      <alignment horizontal="left" vertical="center" indent="4"/>
    </xf>
    <xf numFmtId="0" fontId="16" fillId="0" borderId="0" xfId="10" applyFont="1" applyAlignment="1">
      <alignment horizontal="left" vertical="center" indent="4"/>
    </xf>
    <xf numFmtId="0" fontId="1" fillId="4" borderId="7" xfId="10" applyFill="1" applyBorder="1"/>
    <xf numFmtId="0" fontId="3" fillId="4" borderId="5" xfId="10" applyFont="1" applyFill="1" applyBorder="1"/>
    <xf numFmtId="0" fontId="17" fillId="0" borderId="0" xfId="10" applyFont="1" applyAlignment="1">
      <alignment vertical="center"/>
    </xf>
    <xf numFmtId="0" fontId="3" fillId="0" borderId="61" xfId="10" applyFont="1" applyBorder="1" applyAlignment="1">
      <alignment horizontal="center" wrapText="1"/>
    </xf>
    <xf numFmtId="0" fontId="3" fillId="0" borderId="62" xfId="10" applyFont="1" applyBorder="1" applyAlignment="1">
      <alignment horizontal="center" wrapText="1"/>
    </xf>
    <xf numFmtId="0" fontId="3" fillId="0" borderId="62" xfId="10" applyFont="1" applyBorder="1" applyAlignment="1">
      <alignment wrapText="1"/>
    </xf>
    <xf numFmtId="0" fontId="3" fillId="0" borderId="63" xfId="10" applyFont="1" applyBorder="1" applyAlignment="1">
      <alignment wrapText="1"/>
    </xf>
    <xf numFmtId="164" fontId="1" fillId="0" borderId="5" xfId="0" applyNumberFormat="1" applyFont="1" applyBorder="1"/>
    <xf numFmtId="44" fontId="8" fillId="0" borderId="0" xfId="8" applyNumberFormat="1" applyFont="1"/>
    <xf numFmtId="41" fontId="3" fillId="0" borderId="55" xfId="4" applyNumberFormat="1" applyFont="1" applyFill="1" applyBorder="1"/>
    <xf numFmtId="167" fontId="1" fillId="0" borderId="18" xfId="4" applyNumberFormat="1" applyFont="1" applyBorder="1"/>
    <xf numFmtId="42" fontId="12" fillId="0" borderId="15" xfId="4" applyNumberFormat="1" applyFont="1" applyFill="1" applyBorder="1"/>
    <xf numFmtId="167" fontId="1" fillId="0" borderId="1" xfId="4" applyNumberFormat="1" applyFont="1" applyBorder="1"/>
    <xf numFmtId="41" fontId="8" fillId="5" borderId="18" xfId="4" applyNumberFormat="1" applyFont="1" applyFill="1" applyBorder="1" applyAlignment="1">
      <alignment horizontal="right"/>
    </xf>
    <xf numFmtId="42" fontId="12" fillId="0" borderId="15" xfId="0" applyNumberFormat="1" applyFont="1" applyFill="1" applyBorder="1"/>
    <xf numFmtId="0" fontId="3" fillId="0" borderId="21" xfId="10" applyFont="1" applyBorder="1" applyAlignment="1">
      <alignment horizontal="left"/>
    </xf>
    <xf numFmtId="5" fontId="3" fillId="0" borderId="45" xfId="0" applyNumberFormat="1" applyFont="1" applyFill="1" applyBorder="1"/>
    <xf numFmtId="5" fontId="11" fillId="0" borderId="18" xfId="0" applyNumberFormat="1" applyFont="1" applyBorder="1"/>
    <xf numFmtId="0" fontId="3" fillId="0" borderId="7" xfId="0" applyFont="1" applyBorder="1" applyAlignment="1">
      <alignment horizontal="center"/>
    </xf>
    <xf numFmtId="5" fontId="1" fillId="0" borderId="19" xfId="0" applyNumberFormat="1" applyFont="1" applyBorder="1"/>
    <xf numFmtId="37" fontId="1" fillId="0" borderId="1" xfId="0" applyNumberFormat="1" applyFont="1" applyBorder="1" applyAlignment="1">
      <alignment horizontal="right"/>
    </xf>
    <xf numFmtId="37" fontId="1" fillId="0" borderId="1" xfId="0" applyNumberFormat="1" applyFont="1" applyBorder="1" applyAlignment="1">
      <alignment horizontal="center"/>
    </xf>
    <xf numFmtId="5" fontId="1" fillId="0" borderId="1" xfId="11" applyNumberFormat="1" applyFont="1" applyFill="1" applyBorder="1"/>
    <xf numFmtId="5" fontId="1" fillId="0" borderId="18" xfId="11" applyNumberFormat="1" applyFont="1" applyFill="1" applyBorder="1"/>
    <xf numFmtId="14" fontId="1" fillId="0" borderId="21" xfId="0" applyNumberFormat="1" applyFont="1" applyBorder="1" applyAlignment="1">
      <alignment horizontal="center"/>
    </xf>
    <xf numFmtId="44" fontId="3" fillId="0" borderId="21" xfId="0" applyNumberFormat="1" applyFont="1" applyBorder="1" applyAlignment="1">
      <alignment horizontal="center"/>
    </xf>
    <xf numFmtId="44" fontId="3" fillId="0" borderId="22" xfId="0" applyNumberFormat="1" applyFont="1" applyBorder="1" applyAlignment="1">
      <alignment horizontal="center"/>
    </xf>
    <xf numFmtId="5" fontId="1" fillId="0" borderId="10" xfId="0" applyNumberFormat="1" applyFont="1" applyBorder="1"/>
    <xf numFmtId="5" fontId="1" fillId="0" borderId="20" xfId="0" applyNumberFormat="1" applyFont="1" applyBorder="1"/>
    <xf numFmtId="5" fontId="1" fillId="0" borderId="13" xfId="0" applyNumberFormat="1" applyFont="1" applyBorder="1"/>
    <xf numFmtId="5" fontId="1" fillId="4" borderId="13" xfId="0" applyNumberFormat="1" applyFont="1" applyFill="1" applyBorder="1"/>
    <xf numFmtId="5" fontId="3" fillId="4" borderId="1" xfId="11" applyNumberFormat="1" applyFont="1" applyFill="1" applyBorder="1" applyAlignment="1">
      <alignment horizontal="right"/>
    </xf>
    <xf numFmtId="5" fontId="3" fillId="4" borderId="1" xfId="11" applyNumberFormat="1" applyFont="1" applyFill="1" applyBorder="1"/>
    <xf numFmtId="44" fontId="3" fillId="4" borderId="1" xfId="11" applyFont="1" applyFill="1" applyBorder="1"/>
    <xf numFmtId="5" fontId="3" fillId="4" borderId="16" xfId="11" applyNumberFormat="1" applyFont="1" applyFill="1" applyBorder="1"/>
    <xf numFmtId="166" fontId="1" fillId="0" borderId="5" xfId="12" applyNumberFormat="1" applyFont="1" applyBorder="1" applyAlignment="1">
      <alignment horizontal="left"/>
    </xf>
    <xf numFmtId="166" fontId="1" fillId="0" borderId="5" xfId="12" applyNumberFormat="1" applyFont="1" applyBorder="1" applyAlignment="1">
      <alignment horizontal="center"/>
    </xf>
    <xf numFmtId="5" fontId="1" fillId="0" borderId="5" xfId="11" applyNumberFormat="1" applyFont="1" applyBorder="1"/>
    <xf numFmtId="14" fontId="1" fillId="0" borderId="5" xfId="11" applyNumberFormat="1" applyFont="1" applyFill="1" applyBorder="1"/>
    <xf numFmtId="42" fontId="3" fillId="0" borderId="5" xfId="11" applyNumberFormat="1" applyFont="1" applyBorder="1"/>
    <xf numFmtId="5" fontId="1" fillId="0" borderId="7" xfId="11" applyNumberFormat="1" applyFont="1" applyBorder="1"/>
    <xf numFmtId="166" fontId="1" fillId="0" borderId="18" xfId="12" applyNumberFormat="1" applyFont="1" applyBorder="1" applyAlignment="1">
      <alignment horizontal="left"/>
    </xf>
    <xf numFmtId="166" fontId="1" fillId="0" borderId="18" xfId="12" applyNumberFormat="1" applyFont="1" applyBorder="1" applyAlignment="1">
      <alignment horizontal="center"/>
    </xf>
    <xf numFmtId="5" fontId="1" fillId="0" borderId="21" xfId="11" applyNumberFormat="1" applyFont="1" applyBorder="1"/>
    <xf numFmtId="5" fontId="1" fillId="0" borderId="21" xfId="13" applyNumberFormat="1" applyFont="1" applyBorder="1" applyAlignment="1">
      <alignment horizontal="right"/>
    </xf>
    <xf numFmtId="5" fontId="3" fillId="0" borderId="21" xfId="13" applyNumberFormat="1" applyFont="1" applyBorder="1"/>
    <xf numFmtId="5" fontId="1" fillId="0" borderId="22" xfId="11" applyNumberFormat="1" applyFont="1" applyBorder="1"/>
    <xf numFmtId="166" fontId="1" fillId="0" borderId="21" xfId="12" applyNumberFormat="1" applyFont="1" applyBorder="1" applyAlignment="1">
      <alignment horizontal="left"/>
    </xf>
    <xf numFmtId="166" fontId="1" fillId="0" borderId="21" xfId="12" applyNumberFormat="1" applyFont="1" applyBorder="1" applyAlignment="1">
      <alignment horizontal="center"/>
    </xf>
    <xf numFmtId="5" fontId="1" fillId="0" borderId="21" xfId="11" applyNumberFormat="1" applyFont="1" applyFill="1" applyBorder="1"/>
    <xf numFmtId="37" fontId="1" fillId="0" borderId="18" xfId="0" applyNumberFormat="1" applyFont="1" applyBorder="1" applyAlignment="1">
      <alignment horizontal="right"/>
    </xf>
    <xf numFmtId="5" fontId="1" fillId="0" borderId="18" xfId="13" applyNumberFormat="1" applyFont="1" applyBorder="1"/>
    <xf numFmtId="5" fontId="1" fillId="0" borderId="21" xfId="0" applyNumberFormat="1" applyFont="1" applyBorder="1" applyAlignment="1">
      <alignment horizontal="right"/>
    </xf>
    <xf numFmtId="5" fontId="1" fillId="0" borderId="21" xfId="13" applyNumberFormat="1" applyFont="1" applyBorder="1"/>
    <xf numFmtId="5" fontId="1" fillId="0" borderId="18" xfId="11" applyNumberFormat="1" applyFont="1" applyBorder="1"/>
    <xf numFmtId="5" fontId="1" fillId="0" borderId="6" xfId="0" applyNumberFormat="1" applyFont="1" applyBorder="1"/>
    <xf numFmtId="37" fontId="1" fillId="0" borderId="15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center"/>
    </xf>
    <xf numFmtId="5" fontId="1" fillId="0" borderId="15" xfId="13" applyNumberFormat="1" applyFont="1" applyBorder="1"/>
    <xf numFmtId="5" fontId="1" fillId="0" borderId="23" xfId="11" applyNumberFormat="1" applyFont="1" applyBorder="1"/>
    <xf numFmtId="5" fontId="1" fillId="0" borderId="23" xfId="13" applyNumberFormat="1" applyFont="1" applyBorder="1" applyAlignment="1">
      <alignment horizontal="right"/>
    </xf>
    <xf numFmtId="5" fontId="1" fillId="0" borderId="23" xfId="13" applyNumberFormat="1" applyFont="1" applyBorder="1"/>
    <xf numFmtId="5" fontId="1" fillId="0" borderId="14" xfId="11" applyNumberFormat="1" applyFont="1" applyBorder="1"/>
    <xf numFmtId="5" fontId="1" fillId="0" borderId="29" xfId="0" applyNumberFormat="1" applyFont="1" applyBorder="1" applyAlignment="1">
      <alignment horizontal="left"/>
    </xf>
    <xf numFmtId="5" fontId="1" fillId="0" borderId="23" xfId="0" applyNumberFormat="1" applyFont="1" applyBorder="1" applyAlignment="1">
      <alignment horizontal="left"/>
    </xf>
    <xf numFmtId="5" fontId="3" fillId="0" borderId="14" xfId="11" applyNumberFormat="1" applyFont="1" applyBorder="1"/>
    <xf numFmtId="0" fontId="1" fillId="0" borderId="0" xfId="0" applyFont="1" applyAlignment="1">
      <alignment horizontal="left"/>
    </xf>
    <xf numFmtId="167" fontId="1" fillId="0" borderId="0" xfId="11" applyNumberFormat="1" applyFont="1"/>
    <xf numFmtId="167" fontId="0" fillId="0" borderId="0" xfId="11" applyNumberFormat="1" applyFont="1"/>
    <xf numFmtId="164" fontId="0" fillId="0" borderId="5" xfId="0" applyNumberFormat="1" applyFill="1" applyBorder="1"/>
    <xf numFmtId="164" fontId="0" fillId="0" borderId="1" xfId="0" applyNumberFormat="1" applyFill="1" applyBorder="1"/>
    <xf numFmtId="0" fontId="1" fillId="0" borderId="2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31" xfId="0" applyFont="1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32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31" xfId="0" applyBorder="1" applyAlignment="1">
      <alignment horizontal="right"/>
    </xf>
    <xf numFmtId="14" fontId="0" fillId="0" borderId="33" xfId="0" applyNumberFormat="1" applyBorder="1" applyAlignment="1">
      <alignment horizontal="right"/>
    </xf>
    <xf numFmtId="14" fontId="0" fillId="0" borderId="34" xfId="0" applyNumberFormat="1" applyBorder="1" applyAlignment="1">
      <alignment horizontal="right"/>
    </xf>
    <xf numFmtId="14" fontId="0" fillId="0" borderId="35" xfId="0" applyNumberFormat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0" borderId="3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/>
    </xf>
    <xf numFmtId="0" fontId="3" fillId="0" borderId="3" xfId="0" applyFont="1" applyBorder="1" applyAlignment="1">
      <alignment horizontal="right"/>
    </xf>
    <xf numFmtId="0" fontId="3" fillId="0" borderId="36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1" fillId="0" borderId="36" xfId="0" applyFont="1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27" xfId="0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0" fillId="0" borderId="21" xfId="0" applyFill="1" applyBorder="1" applyAlignment="1">
      <alignment horizontal="right"/>
    </xf>
    <xf numFmtId="0" fontId="3" fillId="0" borderId="43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0" fontId="3" fillId="0" borderId="42" xfId="0" applyFont="1" applyBorder="1" applyAlignment="1">
      <alignment horizontal="center" vertical="top"/>
    </xf>
    <xf numFmtId="0" fontId="0" fillId="0" borderId="44" xfId="0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46" xfId="0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5" xfId="0" applyFont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1" fillId="0" borderId="38" xfId="0" applyFont="1" applyFill="1" applyBorder="1" applyAlignment="1">
      <alignment horizontal="right"/>
    </xf>
    <xf numFmtId="0" fontId="0" fillId="0" borderId="26" xfId="0" applyFill="1" applyBorder="1" applyAlignment="1">
      <alignment horizontal="right"/>
    </xf>
    <xf numFmtId="0" fontId="0" fillId="0" borderId="39" xfId="0" applyFill="1" applyBorder="1" applyAlignment="1">
      <alignment horizontal="right"/>
    </xf>
    <xf numFmtId="0" fontId="1" fillId="0" borderId="19" xfId="0" applyFont="1" applyFill="1" applyBorder="1" applyAlignment="1">
      <alignment horizontal="right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5" fontId="5" fillId="0" borderId="24" xfId="0" applyNumberFormat="1" applyFont="1" applyBorder="1" applyAlignment="1">
      <alignment horizontal="center"/>
    </xf>
    <xf numFmtId="5" fontId="5" fillId="0" borderId="25" xfId="0" applyNumberFormat="1" applyFont="1" applyBorder="1" applyAlignment="1">
      <alignment horizontal="center"/>
    </xf>
    <xf numFmtId="5" fontId="5" fillId="0" borderId="48" xfId="0" applyNumberFormat="1" applyFont="1" applyBorder="1" applyAlignment="1">
      <alignment horizontal="center"/>
    </xf>
    <xf numFmtId="0" fontId="13" fillId="0" borderId="2" xfId="8" applyFont="1" applyFill="1" applyBorder="1" applyAlignment="1">
      <alignment horizontal="center"/>
    </xf>
    <xf numFmtId="0" fontId="13" fillId="0" borderId="3" xfId="8" applyFont="1" applyFill="1" applyBorder="1" applyAlignment="1">
      <alignment horizontal="center"/>
    </xf>
    <xf numFmtId="0" fontId="8" fillId="0" borderId="59" xfId="8" applyFont="1" applyBorder="1" applyAlignment="1">
      <alignment horizontal="left"/>
    </xf>
    <xf numFmtId="0" fontId="14" fillId="0" borderId="24" xfId="8" applyFont="1" applyFill="1" applyBorder="1" applyAlignment="1">
      <alignment horizontal="center"/>
    </xf>
    <xf numFmtId="0" fontId="14" fillId="0" borderId="49" xfId="8" applyFont="1" applyFill="1" applyBorder="1" applyAlignment="1">
      <alignment horizontal="center"/>
    </xf>
    <xf numFmtId="0" fontId="15" fillId="0" borderId="0" xfId="10" applyFont="1" applyAlignment="1">
      <alignment horizontal="left" wrapText="1"/>
    </xf>
    <xf numFmtId="0" fontId="3" fillId="0" borderId="21" xfId="10" applyFont="1" applyBorder="1" applyAlignment="1">
      <alignment horizontal="left"/>
    </xf>
    <xf numFmtId="0" fontId="3" fillId="0" borderId="20" xfId="10" applyFont="1" applyBorder="1" applyAlignment="1">
      <alignment horizontal="left"/>
    </xf>
    <xf numFmtId="0" fontId="3" fillId="0" borderId="19" xfId="10" applyFont="1" applyBorder="1" applyAlignment="1">
      <alignment horizontal="left"/>
    </xf>
    <xf numFmtId="0" fontId="3" fillId="0" borderId="18" xfId="10" applyFont="1" applyBorder="1" applyAlignment="1">
      <alignment horizontal="left"/>
    </xf>
    <xf numFmtId="0" fontId="3" fillId="0" borderId="6" xfId="10" applyFont="1" applyBorder="1" applyAlignment="1">
      <alignment horizontal="left"/>
    </xf>
    <xf numFmtId="0" fontId="3" fillId="0" borderId="15" xfId="10" applyFont="1" applyBorder="1" applyAlignment="1">
      <alignment horizontal="left"/>
    </xf>
    <xf numFmtId="0" fontId="3" fillId="0" borderId="10" xfId="10" applyFont="1" applyBorder="1" applyAlignment="1">
      <alignment horizontal="left"/>
    </xf>
    <xf numFmtId="0" fontId="3" fillId="0" borderId="11" xfId="10" applyFont="1" applyBorder="1" applyAlignment="1">
      <alignment horizontal="left"/>
    </xf>
  </cellXfs>
  <cellStyles count="14">
    <cellStyle name="Comma" xfId="1" builtinId="3"/>
    <cellStyle name="Comma 2" xfId="2" xr:uid="{00000000-0005-0000-0000-000001000000}"/>
    <cellStyle name="Comma 3" xfId="3" xr:uid="{00000000-0005-0000-0000-000002000000}"/>
    <cellStyle name="Comma 3 2" xfId="12" xr:uid="{B07F7FF6-9445-4CB7-B0CE-EF8BDC139DD3}"/>
    <cellStyle name="Currency" xfId="4" builtinId="4"/>
    <cellStyle name="Currency 2" xfId="5" xr:uid="{00000000-0005-0000-0000-000004000000}"/>
    <cellStyle name="Currency 2 2" xfId="6" xr:uid="{00000000-0005-0000-0000-000005000000}"/>
    <cellStyle name="Currency 2 2 2" xfId="13" xr:uid="{26572C41-96D7-4305-91C7-8F3B1EC247FA}"/>
    <cellStyle name="Currency 3" xfId="7" xr:uid="{00000000-0005-0000-0000-000006000000}"/>
    <cellStyle name="Currency 3 2" xfId="11" xr:uid="{9DD3B42B-B93E-40D9-8DF5-AA9160C7C739}"/>
    <cellStyle name="Normal" xfId="0" builtinId="0"/>
    <cellStyle name="Normal 2" xfId="10" xr:uid="{00000000-0005-0000-0000-000008000000}"/>
    <cellStyle name="Normal_EPCWID_Budget_Accounts" xfId="8" xr:uid="{00000000-0005-0000-0000-000009000000}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zoomScaleNormal="100" workbookViewId="0">
      <selection activeCell="B2" sqref="B2"/>
    </sheetView>
  </sheetViews>
  <sheetFormatPr defaultRowHeight="12.75" x14ac:dyDescent="0.2"/>
  <cols>
    <col min="1" max="1" width="4.5703125" bestFit="1" customWidth="1"/>
    <col min="2" max="2" width="9" customWidth="1"/>
    <col min="3" max="3" width="18" customWidth="1"/>
    <col min="4" max="4" width="11" customWidth="1"/>
    <col min="6" max="6" width="11.42578125" bestFit="1" customWidth="1"/>
    <col min="7" max="8" width="15.140625" style="1" bestFit="1" customWidth="1"/>
  </cols>
  <sheetData>
    <row r="1" spans="1:8" ht="16.899999999999999" customHeight="1" thickBot="1" x14ac:dyDescent="0.25">
      <c r="A1" t="s">
        <v>34</v>
      </c>
      <c r="B1" s="267" t="s">
        <v>238</v>
      </c>
      <c r="C1" s="268"/>
      <c r="D1" s="268"/>
      <c r="E1" s="268"/>
      <c r="F1" s="268"/>
      <c r="G1" s="268"/>
      <c r="H1" s="269"/>
    </row>
    <row r="2" spans="1:8" ht="16.899999999999999" customHeight="1" x14ac:dyDescent="0.2">
      <c r="A2">
        <v>2</v>
      </c>
      <c r="B2" s="7" t="s">
        <v>2</v>
      </c>
      <c r="C2" s="8"/>
      <c r="D2" s="232">
        <v>25</v>
      </c>
      <c r="E2" s="8" t="s">
        <v>0</v>
      </c>
      <c r="F2" s="9">
        <v>68860</v>
      </c>
      <c r="G2" s="170" t="s">
        <v>177</v>
      </c>
      <c r="H2" s="24">
        <f>+F2*D2</f>
        <v>1721500</v>
      </c>
    </row>
    <row r="3" spans="1:8" ht="16.899999999999999" customHeight="1" thickBot="1" x14ac:dyDescent="0.25">
      <c r="A3">
        <f t="shared" ref="A3:A7" si="0">+A2+1</f>
        <v>3</v>
      </c>
      <c r="B3" s="18" t="s">
        <v>237</v>
      </c>
      <c r="C3" s="4"/>
      <c r="D3" s="233">
        <v>10</v>
      </c>
      <c r="E3" s="4" t="s">
        <v>1</v>
      </c>
      <c r="F3" s="112">
        <v>75000</v>
      </c>
      <c r="G3" s="19" t="s">
        <v>4</v>
      </c>
      <c r="H3" s="24">
        <f>+F3*D3</f>
        <v>750000</v>
      </c>
    </row>
    <row r="4" spans="1:8" ht="16.899999999999999" customHeight="1" thickBot="1" x14ac:dyDescent="0.25">
      <c r="A4">
        <f t="shared" si="0"/>
        <v>4</v>
      </c>
      <c r="B4" s="5" t="s">
        <v>5</v>
      </c>
      <c r="C4" s="6"/>
      <c r="D4" s="21"/>
      <c r="E4" s="6"/>
      <c r="F4" s="44"/>
      <c r="G4" s="22"/>
      <c r="H4" s="25">
        <f>+H3+H2</f>
        <v>2471500</v>
      </c>
    </row>
    <row r="5" spans="1:8" ht="16.899999999999999" customHeight="1" thickBot="1" x14ac:dyDescent="0.25">
      <c r="A5">
        <f t="shared" si="0"/>
        <v>5</v>
      </c>
      <c r="B5" s="270"/>
      <c r="C5" s="271"/>
      <c r="D5" s="271"/>
      <c r="E5" s="271"/>
      <c r="F5" s="271"/>
      <c r="G5" s="272"/>
      <c r="H5" s="20"/>
    </row>
    <row r="6" spans="1:8" ht="16.899999999999999" customHeight="1" thickBot="1" x14ac:dyDescent="0.25">
      <c r="A6">
        <f t="shared" si="0"/>
        <v>6</v>
      </c>
      <c r="B6" s="14"/>
      <c r="C6" s="15"/>
      <c r="D6" s="15"/>
      <c r="E6" s="15"/>
      <c r="F6" s="15"/>
      <c r="G6" s="16"/>
      <c r="H6" s="17"/>
    </row>
    <row r="7" spans="1:8" ht="16.899999999999999" customHeight="1" x14ac:dyDescent="0.2">
      <c r="A7">
        <f t="shared" si="0"/>
        <v>7</v>
      </c>
      <c r="B7" s="277" t="s">
        <v>194</v>
      </c>
      <c r="C7" s="278"/>
      <c r="D7" s="278"/>
      <c r="E7" s="278"/>
      <c r="F7" s="278"/>
      <c r="G7" s="278"/>
      <c r="H7" s="111">
        <v>11743072.609999999</v>
      </c>
    </row>
    <row r="8" spans="1:8" ht="16.899999999999999" customHeight="1" x14ac:dyDescent="0.2">
      <c r="A8">
        <f>+A7+1</f>
        <v>8</v>
      </c>
      <c r="B8" s="283" t="s">
        <v>195</v>
      </c>
      <c r="C8" s="284"/>
      <c r="D8" s="284"/>
      <c r="E8" s="284"/>
      <c r="F8" s="284"/>
      <c r="G8" s="285"/>
      <c r="H8" s="68">
        <v>2816877.59</v>
      </c>
    </row>
    <row r="9" spans="1:8" ht="16.899999999999999" customHeight="1" x14ac:dyDescent="0.2">
      <c r="A9">
        <f t="shared" ref="A9:A51" si="1">+A8+1</f>
        <v>9</v>
      </c>
      <c r="B9" s="286" t="s">
        <v>196</v>
      </c>
      <c r="C9" s="247"/>
      <c r="D9" s="247"/>
      <c r="E9" s="247"/>
      <c r="F9" s="247"/>
      <c r="G9" s="247"/>
      <c r="H9" s="69">
        <v>2000</v>
      </c>
    </row>
    <row r="10" spans="1:8" ht="16.899999999999999" customHeight="1" thickBot="1" x14ac:dyDescent="0.25">
      <c r="A10">
        <f t="shared" si="1"/>
        <v>10</v>
      </c>
      <c r="B10" s="279" t="s">
        <v>197</v>
      </c>
      <c r="C10" s="280"/>
      <c r="D10" s="280"/>
      <c r="E10" s="280"/>
      <c r="F10" s="280"/>
      <c r="G10" s="280"/>
      <c r="H10" s="69">
        <v>271419.98</v>
      </c>
    </row>
    <row r="11" spans="1:8" ht="16.899999999999999" customHeight="1" thickBot="1" x14ac:dyDescent="0.25">
      <c r="A11">
        <f t="shared" si="1"/>
        <v>11</v>
      </c>
      <c r="B11" s="235" t="s">
        <v>198</v>
      </c>
      <c r="C11" s="241"/>
      <c r="D11" s="241"/>
      <c r="E11" s="241"/>
      <c r="F11" s="241"/>
      <c r="G11" s="241"/>
      <c r="H11" s="109">
        <f>SUM(H7:H10)</f>
        <v>14833370.18</v>
      </c>
    </row>
    <row r="12" spans="1:8" ht="16.899999999999999" customHeight="1" x14ac:dyDescent="0.2">
      <c r="A12">
        <f t="shared" si="1"/>
        <v>12</v>
      </c>
      <c r="B12" s="234" t="s">
        <v>199</v>
      </c>
      <c r="C12" s="234"/>
      <c r="D12" s="234"/>
      <c r="E12" s="234"/>
      <c r="F12" s="234"/>
      <c r="G12" s="234"/>
      <c r="H12" s="108">
        <f>Revenue!D51-Revenue!C51</f>
        <v>989697.75</v>
      </c>
    </row>
    <row r="13" spans="1:8" ht="16.899999999999999" customHeight="1" thickBot="1" x14ac:dyDescent="0.25">
      <c r="A13">
        <f t="shared" si="1"/>
        <v>13</v>
      </c>
      <c r="B13" s="240" t="s">
        <v>200</v>
      </c>
      <c r="C13" s="240"/>
      <c r="D13" s="240"/>
      <c r="E13" s="240"/>
      <c r="F13" s="240"/>
      <c r="G13" s="240"/>
      <c r="H13" s="110">
        <f>Expense!D97-Expense!C97</f>
        <v>1861674.9899999984</v>
      </c>
    </row>
    <row r="14" spans="1:8" ht="16.899999999999999" customHeight="1" thickBot="1" x14ac:dyDescent="0.25">
      <c r="A14">
        <f t="shared" si="1"/>
        <v>14</v>
      </c>
      <c r="B14" s="235" t="s">
        <v>201</v>
      </c>
      <c r="C14" s="236"/>
      <c r="D14" s="236"/>
      <c r="E14" s="236"/>
      <c r="F14" s="236"/>
      <c r="G14" s="236"/>
      <c r="H14" s="109">
        <f>H12-H13</f>
        <v>-871977.23999999836</v>
      </c>
    </row>
    <row r="15" spans="1:8" ht="16.899999999999999" customHeight="1" thickBot="1" x14ac:dyDescent="0.25">
      <c r="A15">
        <f t="shared" si="1"/>
        <v>15</v>
      </c>
      <c r="B15" s="235" t="s">
        <v>193</v>
      </c>
      <c r="C15" s="241"/>
      <c r="D15" s="241"/>
      <c r="E15" s="241"/>
      <c r="F15" s="241"/>
      <c r="G15" s="241"/>
      <c r="H15" s="109">
        <f>H11+H14</f>
        <v>13961392.940000001</v>
      </c>
    </row>
    <row r="16" spans="1:8" ht="16.899999999999999" customHeight="1" x14ac:dyDescent="0.2">
      <c r="A16">
        <f t="shared" si="1"/>
        <v>16</v>
      </c>
      <c r="B16" s="265" t="s">
        <v>187</v>
      </c>
      <c r="C16" s="266"/>
      <c r="D16" s="266"/>
      <c r="E16" s="266"/>
      <c r="F16" s="266"/>
      <c r="G16" s="266"/>
      <c r="H16" s="42">
        <v>13897459.699999999</v>
      </c>
    </row>
    <row r="17" spans="1:8" ht="16.899999999999999" customHeight="1" x14ac:dyDescent="0.2">
      <c r="A17">
        <f t="shared" si="1"/>
        <v>17</v>
      </c>
      <c r="B17" s="246" t="s">
        <v>188</v>
      </c>
      <c r="C17" s="247"/>
      <c r="D17" s="247"/>
      <c r="E17" s="247"/>
      <c r="F17" s="247"/>
      <c r="G17" s="247"/>
      <c r="H17" s="42">
        <v>1193666.44</v>
      </c>
    </row>
    <row r="18" spans="1:8" ht="16.899999999999999" hidden="1" customHeight="1" x14ac:dyDescent="0.2">
      <c r="A18">
        <f t="shared" si="1"/>
        <v>18</v>
      </c>
      <c r="B18" s="246" t="s">
        <v>180</v>
      </c>
      <c r="C18" s="247"/>
      <c r="D18" s="247"/>
      <c r="E18" s="247"/>
      <c r="F18" s="247"/>
      <c r="G18" s="247"/>
      <c r="H18" s="42">
        <v>0</v>
      </c>
    </row>
    <row r="19" spans="1:8" ht="16.899999999999999" customHeight="1" x14ac:dyDescent="0.2">
      <c r="A19">
        <v>18</v>
      </c>
      <c r="B19" s="246" t="s">
        <v>189</v>
      </c>
      <c r="C19" s="247"/>
      <c r="D19" s="247"/>
      <c r="E19" s="247"/>
      <c r="F19" s="247"/>
      <c r="G19" s="247"/>
      <c r="H19" s="61">
        <v>2300</v>
      </c>
    </row>
    <row r="20" spans="1:8" ht="16.899999999999999" customHeight="1" thickBot="1" x14ac:dyDescent="0.25">
      <c r="A20">
        <f t="shared" si="1"/>
        <v>19</v>
      </c>
      <c r="B20" s="281" t="s">
        <v>190</v>
      </c>
      <c r="C20" s="282"/>
      <c r="D20" s="282"/>
      <c r="E20" s="282"/>
      <c r="F20" s="282"/>
      <c r="G20" s="282"/>
      <c r="H20" s="43">
        <v>271032.90000000002</v>
      </c>
    </row>
    <row r="21" spans="1:8" ht="16.899999999999999" customHeight="1" x14ac:dyDescent="0.2">
      <c r="A21">
        <f t="shared" si="1"/>
        <v>20</v>
      </c>
      <c r="B21" s="260" t="s">
        <v>191</v>
      </c>
      <c r="C21" s="261"/>
      <c r="D21" s="261"/>
      <c r="E21" s="261"/>
      <c r="F21" s="261"/>
      <c r="G21" s="262"/>
      <c r="H21" s="41">
        <f>SUM(H16:H20)</f>
        <v>15364459.039999999</v>
      </c>
    </row>
    <row r="22" spans="1:8" ht="16.899999999999999" customHeight="1" thickBot="1" x14ac:dyDescent="0.25">
      <c r="A22">
        <f t="shared" si="1"/>
        <v>21</v>
      </c>
      <c r="B22" s="263" t="s">
        <v>192</v>
      </c>
      <c r="C22" s="264"/>
      <c r="D22" s="264"/>
      <c r="E22" s="264"/>
      <c r="F22" s="264"/>
      <c r="G22" s="264"/>
      <c r="H22" s="67">
        <f>+H15-H21</f>
        <v>-1403066.0999999978</v>
      </c>
    </row>
    <row r="23" spans="1:8" ht="16.899999999999999" customHeight="1" x14ac:dyDescent="0.2">
      <c r="A23">
        <f t="shared" si="1"/>
        <v>22</v>
      </c>
      <c r="B23" s="273" t="s">
        <v>202</v>
      </c>
      <c r="C23" s="274"/>
      <c r="D23" s="274"/>
      <c r="E23" s="274"/>
      <c r="F23" s="274"/>
      <c r="G23" s="274"/>
      <c r="H23" s="275"/>
    </row>
    <row r="24" spans="1:8" ht="16.899999999999999" customHeight="1" x14ac:dyDescent="0.2">
      <c r="A24">
        <f t="shared" si="1"/>
        <v>23</v>
      </c>
      <c r="B24" s="251" t="str">
        <f>Revenue!A3</f>
        <v>40100 - Land Assessments</v>
      </c>
      <c r="C24" s="252"/>
      <c r="D24" s="252"/>
      <c r="E24" s="252"/>
      <c r="F24" s="252"/>
      <c r="G24" s="26">
        <f>Revenue!F7</f>
        <v>1721500</v>
      </c>
      <c r="H24" s="13"/>
    </row>
    <row r="25" spans="1:8" ht="16.899999999999999" customHeight="1" x14ac:dyDescent="0.2">
      <c r="A25">
        <f t="shared" si="1"/>
        <v>24</v>
      </c>
      <c r="B25" s="251" t="str">
        <f>Revenue!A8</f>
        <v>40150 - Water Use Assessments</v>
      </c>
      <c r="C25" s="252"/>
      <c r="D25" s="252"/>
      <c r="E25" s="252"/>
      <c r="F25" s="252"/>
      <c r="G25" s="26">
        <f>Revenue!F12</f>
        <v>750000</v>
      </c>
      <c r="H25" s="13"/>
    </row>
    <row r="26" spans="1:8" ht="16.899999999999999" customHeight="1" x14ac:dyDescent="0.2">
      <c r="A26">
        <f t="shared" si="1"/>
        <v>25</v>
      </c>
      <c r="B26" s="251" t="str">
        <f>Revenue!A13</f>
        <v>40200 - Other Assessment Fees</v>
      </c>
      <c r="C26" s="252"/>
      <c r="D26" s="252"/>
      <c r="E26" s="252"/>
      <c r="F26" s="252"/>
      <c r="G26" s="26">
        <f>Revenue!F17</f>
        <v>1075000</v>
      </c>
      <c r="H26" s="13"/>
    </row>
    <row r="27" spans="1:8" ht="16.899999999999999" customHeight="1" x14ac:dyDescent="0.2">
      <c r="A27">
        <f t="shared" si="1"/>
        <v>26</v>
      </c>
      <c r="B27" s="251" t="str">
        <f>Revenue!A18</f>
        <v>40210 - Licensing Fees</v>
      </c>
      <c r="C27" s="252"/>
      <c r="D27" s="252"/>
      <c r="E27" s="252"/>
      <c r="F27" s="252"/>
      <c r="G27" s="26">
        <f>Revenue!F26</f>
        <v>2165000</v>
      </c>
      <c r="H27" s="13"/>
    </row>
    <row r="28" spans="1:8" ht="16.899999999999999" customHeight="1" x14ac:dyDescent="0.2">
      <c r="A28">
        <f t="shared" si="1"/>
        <v>27</v>
      </c>
      <c r="B28" s="251" t="str">
        <f>Revenue!A27</f>
        <v>40250 - Contract Revenue</v>
      </c>
      <c r="C28" s="252"/>
      <c r="D28" s="252"/>
      <c r="E28" s="252"/>
      <c r="F28" s="252"/>
      <c r="G28" s="26">
        <f>Revenue!F32</f>
        <v>1108000</v>
      </c>
      <c r="H28" s="13"/>
    </row>
    <row r="29" spans="1:8" ht="16.899999999999999" customHeight="1" x14ac:dyDescent="0.2">
      <c r="A29">
        <f t="shared" si="1"/>
        <v>28</v>
      </c>
      <c r="B29" s="251" t="str">
        <f>Revenue!A33</f>
        <v>40300 - Administrative Revenue</v>
      </c>
      <c r="C29" s="252"/>
      <c r="D29" s="252"/>
      <c r="E29" s="252"/>
      <c r="F29" s="252"/>
      <c r="G29" s="26">
        <f>Revenue!F41</f>
        <v>137600</v>
      </c>
      <c r="H29" s="13"/>
    </row>
    <row r="30" spans="1:8" ht="16.899999999999999" customHeight="1" x14ac:dyDescent="0.2">
      <c r="A30">
        <f t="shared" si="1"/>
        <v>29</v>
      </c>
      <c r="B30" s="251" t="str">
        <f>Revenue!A42</f>
        <v>40400 - Special &amp; Capital Projects</v>
      </c>
      <c r="C30" s="252"/>
      <c r="D30" s="252"/>
      <c r="E30" s="252"/>
      <c r="F30" s="252"/>
      <c r="G30" s="26">
        <f>Revenue!F44</f>
        <v>805000</v>
      </c>
      <c r="H30" s="13"/>
    </row>
    <row r="31" spans="1:8" ht="16.899999999999999" customHeight="1" x14ac:dyDescent="0.2">
      <c r="A31">
        <f t="shared" si="1"/>
        <v>30</v>
      </c>
      <c r="B31" s="251" t="str">
        <f>Revenue!A45</f>
        <v>40500 - Reimbursement Revenue</v>
      </c>
      <c r="C31" s="252"/>
      <c r="D31" s="252"/>
      <c r="E31" s="252"/>
      <c r="F31" s="252"/>
      <c r="G31" s="26">
        <f>Revenue!F50</f>
        <v>80000</v>
      </c>
      <c r="H31" s="13"/>
    </row>
    <row r="32" spans="1:8" ht="16.899999999999999" customHeight="1" thickBot="1" x14ac:dyDescent="0.25">
      <c r="A32">
        <f t="shared" si="1"/>
        <v>31</v>
      </c>
      <c r="B32" s="10"/>
      <c r="C32" s="276" t="s">
        <v>7</v>
      </c>
      <c r="D32" s="276"/>
      <c r="E32" s="276"/>
      <c r="F32" s="276"/>
      <c r="G32" s="34">
        <f>SUM(G24:G31)</f>
        <v>7842100</v>
      </c>
      <c r="H32" s="35"/>
    </row>
    <row r="33" spans="1:8" ht="16.899999999999999" customHeight="1" x14ac:dyDescent="0.2">
      <c r="A33">
        <f t="shared" si="1"/>
        <v>32</v>
      </c>
      <c r="B33" s="254" t="s">
        <v>203</v>
      </c>
      <c r="C33" s="255"/>
      <c r="D33" s="255"/>
      <c r="E33" s="255"/>
      <c r="F33" s="255"/>
      <c r="G33" s="255"/>
      <c r="H33" s="256"/>
    </row>
    <row r="34" spans="1:8" ht="16.899999999999999" customHeight="1" x14ac:dyDescent="0.2">
      <c r="A34">
        <f t="shared" si="1"/>
        <v>33</v>
      </c>
      <c r="B34" s="248" t="str">
        <f>+Expense!A3</f>
        <v>60100 - Administrative</v>
      </c>
      <c r="C34" s="249"/>
      <c r="D34" s="249"/>
      <c r="E34" s="249"/>
      <c r="F34" s="249"/>
      <c r="G34" s="250"/>
      <c r="H34" s="13">
        <f>Expense!F18</f>
        <v>399800</v>
      </c>
    </row>
    <row r="35" spans="1:8" ht="16.899999999999999" customHeight="1" x14ac:dyDescent="0.2">
      <c r="A35">
        <f t="shared" si="1"/>
        <v>34</v>
      </c>
      <c r="B35" s="248" t="str">
        <f>+Expense!A19</f>
        <v>60200 - Contract Services</v>
      </c>
      <c r="C35" s="249"/>
      <c r="D35" s="249"/>
      <c r="E35" s="249"/>
      <c r="F35" s="249"/>
      <c r="G35" s="250"/>
      <c r="H35" s="13">
        <f>Expense!F23</f>
        <v>21000</v>
      </c>
    </row>
    <row r="36" spans="1:8" ht="16.899999999999999" customHeight="1" x14ac:dyDescent="0.2">
      <c r="A36">
        <f t="shared" si="1"/>
        <v>35</v>
      </c>
      <c r="B36" s="248" t="str">
        <f>+Expense!A24</f>
        <v>60300 - Consultant Fees</v>
      </c>
      <c r="C36" s="249"/>
      <c r="D36" s="249"/>
      <c r="E36" s="249"/>
      <c r="F36" s="249"/>
      <c r="G36" s="250"/>
      <c r="H36" s="13">
        <f>Expense!F28</f>
        <v>200000</v>
      </c>
    </row>
    <row r="37" spans="1:8" ht="16.899999999999999" customHeight="1" x14ac:dyDescent="0.2">
      <c r="A37">
        <f t="shared" si="1"/>
        <v>36</v>
      </c>
      <c r="B37" s="248" t="str">
        <f>+Expense!A29</f>
        <v>60500 - Governmental Fees</v>
      </c>
      <c r="C37" s="249"/>
      <c r="D37" s="249"/>
      <c r="E37" s="249"/>
      <c r="F37" s="249"/>
      <c r="G37" s="250"/>
      <c r="H37" s="13">
        <f>Expense!F35</f>
        <v>262875</v>
      </c>
    </row>
    <row r="38" spans="1:8" ht="16.899999999999999" customHeight="1" x14ac:dyDescent="0.2">
      <c r="A38">
        <f t="shared" si="1"/>
        <v>37</v>
      </c>
      <c r="B38" s="248" t="str">
        <f>+Expense!A36</f>
        <v>60600 - Insurance Expense</v>
      </c>
      <c r="C38" s="249"/>
      <c r="D38" s="249"/>
      <c r="E38" s="249"/>
      <c r="F38" s="249"/>
      <c r="G38" s="250"/>
      <c r="H38" s="13">
        <f>Expense!F40</f>
        <v>360900</v>
      </c>
    </row>
    <row r="39" spans="1:8" ht="16.899999999999999" customHeight="1" x14ac:dyDescent="0.2">
      <c r="A39">
        <f t="shared" si="1"/>
        <v>38</v>
      </c>
      <c r="B39" s="248" t="str">
        <f>+Expense!A41</f>
        <v>60700 - Legal Fees</v>
      </c>
      <c r="C39" s="249"/>
      <c r="D39" s="249"/>
      <c r="E39" s="249"/>
      <c r="F39" s="249"/>
      <c r="G39" s="250"/>
      <c r="H39" s="13">
        <f>Expense!F46</f>
        <v>340000</v>
      </c>
    </row>
    <row r="40" spans="1:8" ht="16.899999999999999" customHeight="1" x14ac:dyDescent="0.2">
      <c r="A40">
        <f t="shared" si="1"/>
        <v>39</v>
      </c>
      <c r="B40" s="248" t="str">
        <f>+Expense!A47</f>
        <v>60900 - Payroll Expense</v>
      </c>
      <c r="C40" s="249"/>
      <c r="D40" s="249"/>
      <c r="E40" s="249"/>
      <c r="F40" s="249"/>
      <c r="G40" s="250"/>
      <c r="H40" s="13">
        <f>Expense!F52</f>
        <v>6303150</v>
      </c>
    </row>
    <row r="41" spans="1:8" ht="16.899999999999999" customHeight="1" x14ac:dyDescent="0.2">
      <c r="A41">
        <f t="shared" si="1"/>
        <v>40</v>
      </c>
      <c r="B41" s="248" t="str">
        <f>+Expense!A53</f>
        <v>61000 - Repair and Maintenance</v>
      </c>
      <c r="C41" s="249"/>
      <c r="D41" s="249"/>
      <c r="E41" s="249"/>
      <c r="F41" s="249"/>
      <c r="G41" s="250"/>
      <c r="H41" s="13">
        <f>Expense!F62</f>
        <v>485000</v>
      </c>
    </row>
    <row r="42" spans="1:8" ht="16.899999999999999" customHeight="1" x14ac:dyDescent="0.2">
      <c r="A42">
        <f t="shared" si="1"/>
        <v>41</v>
      </c>
      <c r="B42" s="248" t="str">
        <f>+Expense!A63</f>
        <v>61100 - Equipment/Vehicle Maintenance</v>
      </c>
      <c r="C42" s="249"/>
      <c r="D42" s="249"/>
      <c r="E42" s="249"/>
      <c r="F42" s="249"/>
      <c r="G42" s="250"/>
      <c r="H42" s="13">
        <f>Expense!F67</f>
        <v>575000</v>
      </c>
    </row>
    <row r="43" spans="1:8" ht="16.899999999999999" customHeight="1" x14ac:dyDescent="0.2">
      <c r="A43">
        <f t="shared" si="1"/>
        <v>42</v>
      </c>
      <c r="B43" s="248" t="str">
        <f>+Expense!A68</f>
        <v>61200 - Reimburseable Expenses</v>
      </c>
      <c r="C43" s="249"/>
      <c r="D43" s="249"/>
      <c r="E43" s="249"/>
      <c r="F43" s="249"/>
      <c r="G43" s="250"/>
      <c r="H43" s="13">
        <f>Expense!F70</f>
        <v>100000</v>
      </c>
    </row>
    <row r="44" spans="1:8" ht="16.899999999999999" customHeight="1" x14ac:dyDescent="0.2">
      <c r="A44">
        <f t="shared" si="1"/>
        <v>43</v>
      </c>
      <c r="B44" s="248" t="str">
        <f>+Expense!A71</f>
        <v>61300 - Licensing</v>
      </c>
      <c r="C44" s="249"/>
      <c r="D44" s="249"/>
      <c r="E44" s="249"/>
      <c r="F44" s="249"/>
      <c r="G44" s="250"/>
      <c r="H44" s="13">
        <f>Expense!F77</f>
        <v>60000</v>
      </c>
    </row>
    <row r="45" spans="1:8" ht="16.899999999999999" customHeight="1" x14ac:dyDescent="0.2">
      <c r="A45">
        <f t="shared" si="1"/>
        <v>44</v>
      </c>
      <c r="B45" s="248" t="str">
        <f>+Expense!A78</f>
        <v>61400 - Employee Allowances</v>
      </c>
      <c r="C45" s="249"/>
      <c r="D45" s="249"/>
      <c r="E45" s="249"/>
      <c r="F45" s="249"/>
      <c r="G45" s="250"/>
      <c r="H45" s="13">
        <f>Expense!F83</f>
        <v>1201000</v>
      </c>
    </row>
    <row r="46" spans="1:8" ht="16.899999999999999" customHeight="1" x14ac:dyDescent="0.2">
      <c r="A46">
        <f t="shared" si="1"/>
        <v>45</v>
      </c>
      <c r="B46" s="248" t="str">
        <f>+Expense!A84</f>
        <v>61500 - Capital Assets (see attached Sched. A)</v>
      </c>
      <c r="C46" s="249"/>
      <c r="D46" s="249"/>
      <c r="E46" s="249"/>
      <c r="F46" s="249"/>
      <c r="G46" s="250"/>
      <c r="H46" s="13">
        <f>'Capital_Expenses - Sched A'!I16</f>
        <v>1594000</v>
      </c>
    </row>
    <row r="47" spans="1:8" ht="16.899999999999999" customHeight="1" x14ac:dyDescent="0.2">
      <c r="A47">
        <f t="shared" si="1"/>
        <v>46</v>
      </c>
      <c r="B47" s="248" t="str">
        <f>+Expense!A87</f>
        <v>50000 - Capital Projects - (see Sched. A)</v>
      </c>
      <c r="C47" s="249"/>
      <c r="D47" s="249"/>
      <c r="E47" s="249"/>
      <c r="F47" s="249"/>
      <c r="G47" s="250"/>
      <c r="H47" s="13">
        <f>Expense!F92</f>
        <v>1644830</v>
      </c>
    </row>
    <row r="48" spans="1:8" ht="16.899999999999999" customHeight="1" thickBot="1" x14ac:dyDescent="0.25">
      <c r="A48">
        <f t="shared" si="1"/>
        <v>47</v>
      </c>
      <c r="B48" s="257" t="str">
        <f>+Expense!A93</f>
        <v>61700 - Well Maintenance and Fuel</v>
      </c>
      <c r="C48" s="258"/>
      <c r="D48" s="258"/>
      <c r="E48" s="258"/>
      <c r="F48" s="258"/>
      <c r="G48" s="259"/>
      <c r="H48" s="36">
        <f>Expense!F96</f>
        <v>225000</v>
      </c>
    </row>
    <row r="49" spans="1:8" ht="16.899999999999999" customHeight="1" thickBot="1" x14ac:dyDescent="0.25">
      <c r="A49">
        <f t="shared" si="1"/>
        <v>48</v>
      </c>
      <c r="B49" s="5" t="s">
        <v>3</v>
      </c>
      <c r="C49" s="253" t="s">
        <v>7</v>
      </c>
      <c r="D49" s="253"/>
      <c r="E49" s="253"/>
      <c r="F49" s="253"/>
      <c r="G49" s="253"/>
      <c r="H49" s="37">
        <f>SUM(H34:H48)</f>
        <v>13772555</v>
      </c>
    </row>
    <row r="50" spans="1:8" ht="16.899999999999999" customHeight="1" x14ac:dyDescent="0.2">
      <c r="A50">
        <f t="shared" si="1"/>
        <v>49</v>
      </c>
      <c r="B50" s="243" t="s">
        <v>204</v>
      </c>
      <c r="C50" s="244"/>
      <c r="D50" s="244"/>
      <c r="E50" s="244"/>
      <c r="F50" s="245"/>
      <c r="G50" s="38">
        <f>+H15+G32-H49</f>
        <v>8030937.9400000013</v>
      </c>
      <c r="H50" s="11"/>
    </row>
    <row r="51" spans="1:8" ht="16.899999999999999" customHeight="1" thickBot="1" x14ac:dyDescent="0.25">
      <c r="A51">
        <f t="shared" si="1"/>
        <v>50</v>
      </c>
      <c r="B51" s="242" t="s">
        <v>205</v>
      </c>
      <c r="C51" s="238"/>
      <c r="D51" s="238"/>
      <c r="E51" s="238"/>
      <c r="F51" s="239"/>
      <c r="G51" s="23">
        <f>+G50-H15</f>
        <v>-5930455</v>
      </c>
      <c r="H51" s="12"/>
    </row>
    <row r="52" spans="1:8" ht="13.5" thickBot="1" x14ac:dyDescent="0.25">
      <c r="B52" s="237"/>
      <c r="C52" s="238"/>
      <c r="D52" s="238"/>
      <c r="E52" s="238"/>
      <c r="F52" s="239"/>
      <c r="G52" s="23"/>
      <c r="H52" s="12"/>
    </row>
    <row r="53" spans="1:8" x14ac:dyDescent="0.2">
      <c r="G53" s="3"/>
      <c r="H53" s="3"/>
    </row>
    <row r="54" spans="1:8" x14ac:dyDescent="0.2">
      <c r="G54" s="3"/>
      <c r="H54" s="3"/>
    </row>
    <row r="55" spans="1:8" x14ac:dyDescent="0.2">
      <c r="G55" s="3"/>
      <c r="H55" s="3"/>
    </row>
  </sheetData>
  <mergeCells count="48">
    <mergeCell ref="B1:H1"/>
    <mergeCell ref="B5:G5"/>
    <mergeCell ref="B23:H23"/>
    <mergeCell ref="C32:F32"/>
    <mergeCell ref="B7:G7"/>
    <mergeCell ref="B10:G10"/>
    <mergeCell ref="B11:G11"/>
    <mergeCell ref="B17:G17"/>
    <mergeCell ref="B18:G18"/>
    <mergeCell ref="B20:G20"/>
    <mergeCell ref="B27:F27"/>
    <mergeCell ref="B31:F31"/>
    <mergeCell ref="B28:F28"/>
    <mergeCell ref="B29:F29"/>
    <mergeCell ref="B8:G8"/>
    <mergeCell ref="B9:G9"/>
    <mergeCell ref="B45:G45"/>
    <mergeCell ref="B46:G46"/>
    <mergeCell ref="B24:F24"/>
    <mergeCell ref="B40:G40"/>
    <mergeCell ref="B41:G41"/>
    <mergeCell ref="B42:G42"/>
    <mergeCell ref="B35:G35"/>
    <mergeCell ref="B36:G36"/>
    <mergeCell ref="B37:G37"/>
    <mergeCell ref="B43:G43"/>
    <mergeCell ref="B44:G44"/>
    <mergeCell ref="B21:G21"/>
    <mergeCell ref="B22:G22"/>
    <mergeCell ref="B25:F25"/>
    <mergeCell ref="B26:F26"/>
    <mergeCell ref="B16:G16"/>
    <mergeCell ref="B12:G12"/>
    <mergeCell ref="B14:G14"/>
    <mergeCell ref="B52:F52"/>
    <mergeCell ref="B13:G13"/>
    <mergeCell ref="B15:G15"/>
    <mergeCell ref="B51:F51"/>
    <mergeCell ref="B50:F50"/>
    <mergeCell ref="B19:G19"/>
    <mergeCell ref="B38:G38"/>
    <mergeCell ref="B30:F30"/>
    <mergeCell ref="B39:G39"/>
    <mergeCell ref="C49:G49"/>
    <mergeCell ref="B33:H33"/>
    <mergeCell ref="B34:G34"/>
    <mergeCell ref="B47:G47"/>
    <mergeCell ref="B48:G48"/>
  </mergeCells>
  <phoneticPr fontId="2" type="noConversion"/>
  <printOptions gridLines="1"/>
  <pageMargins left="1" right="0.75" top="0.25" bottom="0.25" header="0.5" footer="0.28000000000000003"/>
  <pageSetup scale="80" orientation="portrait" r:id="rId1"/>
  <headerFooter alignWithMargins="0">
    <oddHeader xml:space="preserve">&amp;C
</oddHeader>
    <oddFooter>&amp;R&amp;P
Prepared: 9/13/2022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9EEBE-205F-4D0E-BF48-9F7A8683B97C}">
  <dimension ref="A1:L29"/>
  <sheetViews>
    <sheetView topLeftCell="A16" zoomScale="120" zoomScaleNormal="120" workbookViewId="0">
      <selection activeCell="B3" sqref="B3"/>
    </sheetView>
  </sheetViews>
  <sheetFormatPr defaultRowHeight="12.75" x14ac:dyDescent="0.2"/>
  <cols>
    <col min="1" max="1" width="2.7109375" customWidth="1"/>
    <col min="2" max="2" width="46.42578125" customWidth="1"/>
    <col min="3" max="4" width="8.7109375" customWidth="1"/>
    <col min="5" max="5" width="13.28515625" customWidth="1"/>
    <col min="6" max="9" width="14.28515625" customWidth="1"/>
    <col min="10" max="10" width="9.140625" bestFit="1" customWidth="1"/>
    <col min="11" max="11" width="12.85546875" bestFit="1" customWidth="1"/>
    <col min="12" max="12" width="12.28515625" bestFit="1" customWidth="1"/>
  </cols>
  <sheetData>
    <row r="1" spans="1:12" ht="22.15" customHeight="1" thickBot="1" x14ac:dyDescent="0.3">
      <c r="B1" s="287" t="s">
        <v>206</v>
      </c>
      <c r="C1" s="288"/>
      <c r="D1" s="288"/>
      <c r="E1" s="288"/>
      <c r="F1" s="288"/>
      <c r="G1" s="288"/>
      <c r="H1" s="288"/>
      <c r="I1" s="288"/>
      <c r="J1" s="288"/>
      <c r="K1" s="288"/>
      <c r="L1" s="289"/>
    </row>
    <row r="2" spans="1:12" ht="22.15" customHeight="1" x14ac:dyDescent="0.2">
      <c r="B2" s="27" t="s">
        <v>6</v>
      </c>
      <c r="C2" s="28" t="s">
        <v>129</v>
      </c>
      <c r="D2" s="28" t="s">
        <v>127</v>
      </c>
      <c r="E2" s="28" t="s">
        <v>128</v>
      </c>
      <c r="F2" s="28" t="s">
        <v>36</v>
      </c>
      <c r="G2" s="28" t="s">
        <v>37</v>
      </c>
      <c r="H2" s="28" t="s">
        <v>40</v>
      </c>
      <c r="I2" s="28" t="s">
        <v>9</v>
      </c>
      <c r="J2" s="28" t="s">
        <v>10</v>
      </c>
      <c r="K2" s="28" t="s">
        <v>11</v>
      </c>
      <c r="L2" s="181" t="s">
        <v>12</v>
      </c>
    </row>
    <row r="3" spans="1:12" ht="22.15" customHeight="1" x14ac:dyDescent="0.2">
      <c r="B3" s="182" t="s">
        <v>215</v>
      </c>
      <c r="C3" s="183">
        <v>6</v>
      </c>
      <c r="D3" s="184" t="s">
        <v>38</v>
      </c>
      <c r="E3" s="185">
        <v>42000</v>
      </c>
      <c r="F3" s="186">
        <f>+E3*C3</f>
        <v>252000</v>
      </c>
      <c r="G3" s="185">
        <v>0</v>
      </c>
      <c r="H3" s="185">
        <v>0</v>
      </c>
      <c r="I3" s="186">
        <f t="shared" ref="I3:I15" si="0">+G3+F3</f>
        <v>252000</v>
      </c>
      <c r="J3" s="187"/>
      <c r="K3" s="188">
        <v>0</v>
      </c>
      <c r="L3" s="189">
        <v>0</v>
      </c>
    </row>
    <row r="4" spans="1:12" ht="22.15" customHeight="1" x14ac:dyDescent="0.2">
      <c r="B4" s="182" t="s">
        <v>216</v>
      </c>
      <c r="C4" s="183">
        <v>3</v>
      </c>
      <c r="D4" s="184" t="s">
        <v>38</v>
      </c>
      <c r="E4" s="185">
        <v>41000</v>
      </c>
      <c r="F4" s="186">
        <f>+E4*C4</f>
        <v>123000</v>
      </c>
      <c r="G4" s="185">
        <v>0</v>
      </c>
      <c r="H4" s="185">
        <v>0</v>
      </c>
      <c r="I4" s="186">
        <f t="shared" si="0"/>
        <v>123000</v>
      </c>
      <c r="J4" s="187"/>
      <c r="K4" s="188">
        <v>0</v>
      </c>
      <c r="L4" s="189">
        <v>0</v>
      </c>
    </row>
    <row r="5" spans="1:12" ht="22.15" customHeight="1" x14ac:dyDescent="0.2">
      <c r="B5" s="182" t="s">
        <v>217</v>
      </c>
      <c r="C5" s="183">
        <v>1</v>
      </c>
      <c r="D5" s="184" t="s">
        <v>38</v>
      </c>
      <c r="E5" s="185">
        <v>58000</v>
      </c>
      <c r="F5" s="186">
        <f t="shared" ref="F5:F15" si="1">+E5*C5</f>
        <v>58000</v>
      </c>
      <c r="G5" s="185">
        <v>0</v>
      </c>
      <c r="H5" s="185">
        <v>0</v>
      </c>
      <c r="I5" s="186">
        <f t="shared" si="0"/>
        <v>58000</v>
      </c>
      <c r="J5" s="187"/>
      <c r="K5" s="188">
        <v>0</v>
      </c>
      <c r="L5" s="189">
        <v>0</v>
      </c>
    </row>
    <row r="6" spans="1:12" ht="22.15" customHeight="1" x14ac:dyDescent="0.2">
      <c r="B6" s="182"/>
      <c r="C6" s="183"/>
      <c r="D6" s="184" t="s">
        <v>38</v>
      </c>
      <c r="E6" s="185">
        <v>0</v>
      </c>
      <c r="F6" s="186">
        <f t="shared" si="1"/>
        <v>0</v>
      </c>
      <c r="G6" s="185">
        <v>0</v>
      </c>
      <c r="H6" s="185">
        <v>0</v>
      </c>
      <c r="I6" s="186">
        <f t="shared" si="0"/>
        <v>0</v>
      </c>
      <c r="J6" s="187"/>
      <c r="K6" s="188">
        <v>0</v>
      </c>
      <c r="L6" s="189">
        <v>0</v>
      </c>
    </row>
    <row r="7" spans="1:12" ht="22.15" customHeight="1" x14ac:dyDescent="0.2">
      <c r="B7" s="182" t="s">
        <v>218</v>
      </c>
      <c r="C7" s="183">
        <v>1</v>
      </c>
      <c r="D7" s="184" t="s">
        <v>38</v>
      </c>
      <c r="E7" s="185">
        <v>292000</v>
      </c>
      <c r="F7" s="186">
        <f t="shared" si="1"/>
        <v>292000</v>
      </c>
      <c r="G7" s="185">
        <v>0</v>
      </c>
      <c r="H7" s="185">
        <v>0</v>
      </c>
      <c r="I7" s="186">
        <f t="shared" si="0"/>
        <v>292000</v>
      </c>
      <c r="J7" s="187"/>
      <c r="K7" s="188">
        <v>0</v>
      </c>
      <c r="L7" s="189">
        <v>0</v>
      </c>
    </row>
    <row r="8" spans="1:12" ht="22.15" customHeight="1" x14ac:dyDescent="0.2">
      <c r="B8" s="182" t="s">
        <v>219</v>
      </c>
      <c r="C8" s="183">
        <v>1</v>
      </c>
      <c r="D8" s="184" t="s">
        <v>38</v>
      </c>
      <c r="E8" s="185">
        <v>160000</v>
      </c>
      <c r="F8" s="186">
        <f t="shared" si="1"/>
        <v>160000</v>
      </c>
      <c r="G8" s="185">
        <v>0</v>
      </c>
      <c r="H8" s="185">
        <v>0</v>
      </c>
      <c r="I8" s="186">
        <f t="shared" si="0"/>
        <v>160000</v>
      </c>
      <c r="J8" s="187"/>
      <c r="K8" s="188">
        <v>0</v>
      </c>
      <c r="L8" s="189">
        <v>0</v>
      </c>
    </row>
    <row r="9" spans="1:12" ht="22.15" customHeight="1" x14ac:dyDescent="0.2">
      <c r="B9" s="182" t="s">
        <v>220</v>
      </c>
      <c r="C9" s="183">
        <v>1</v>
      </c>
      <c r="D9" s="184" t="s">
        <v>38</v>
      </c>
      <c r="E9" s="185">
        <v>67000</v>
      </c>
      <c r="F9" s="186">
        <f t="shared" si="1"/>
        <v>67000</v>
      </c>
      <c r="G9" s="185">
        <v>0</v>
      </c>
      <c r="H9" s="185">
        <v>0</v>
      </c>
      <c r="I9" s="186">
        <f t="shared" si="0"/>
        <v>67000</v>
      </c>
      <c r="J9" s="187"/>
      <c r="K9" s="188">
        <v>0</v>
      </c>
      <c r="L9" s="189">
        <v>0</v>
      </c>
    </row>
    <row r="10" spans="1:12" ht="22.15" customHeight="1" x14ac:dyDescent="0.2">
      <c r="A10" s="63"/>
      <c r="B10" s="190" t="s">
        <v>221</v>
      </c>
      <c r="C10" s="183">
        <v>2</v>
      </c>
      <c r="D10" s="184" t="s">
        <v>38</v>
      </c>
      <c r="E10" s="185">
        <v>160000</v>
      </c>
      <c r="F10" s="186">
        <f t="shared" si="1"/>
        <v>320000</v>
      </c>
      <c r="G10" s="185">
        <v>0</v>
      </c>
      <c r="H10" s="185">
        <v>0</v>
      </c>
      <c r="I10" s="186">
        <f t="shared" si="0"/>
        <v>320000</v>
      </c>
      <c r="J10" s="187"/>
      <c r="K10" s="188">
        <v>0</v>
      </c>
      <c r="L10" s="189">
        <v>0</v>
      </c>
    </row>
    <row r="11" spans="1:12" ht="22.15" customHeight="1" x14ac:dyDescent="0.2">
      <c r="B11" s="182" t="s">
        <v>214</v>
      </c>
      <c r="C11" s="183">
        <v>1</v>
      </c>
      <c r="D11" s="184" t="s">
        <v>38</v>
      </c>
      <c r="E11" s="185">
        <v>187000</v>
      </c>
      <c r="F11" s="186">
        <f t="shared" si="1"/>
        <v>187000</v>
      </c>
      <c r="G11" s="185">
        <v>0</v>
      </c>
      <c r="H11" s="185">
        <v>0</v>
      </c>
      <c r="I11" s="186">
        <f t="shared" si="0"/>
        <v>187000</v>
      </c>
      <c r="J11" s="187"/>
      <c r="K11" s="188">
        <v>0</v>
      </c>
      <c r="L11" s="189">
        <v>0</v>
      </c>
    </row>
    <row r="12" spans="1:12" ht="22.15" customHeight="1" x14ac:dyDescent="0.2">
      <c r="B12" s="182" t="s">
        <v>222</v>
      </c>
      <c r="C12" s="183">
        <v>1</v>
      </c>
      <c r="D12" s="184" t="s">
        <v>38</v>
      </c>
      <c r="E12" s="185">
        <v>50000</v>
      </c>
      <c r="F12" s="185">
        <f t="shared" si="1"/>
        <v>50000</v>
      </c>
      <c r="G12" s="185">
        <v>0</v>
      </c>
      <c r="H12" s="185">
        <v>0</v>
      </c>
      <c r="I12" s="185">
        <f t="shared" si="0"/>
        <v>50000</v>
      </c>
      <c r="J12" s="187"/>
      <c r="K12" s="188">
        <v>0</v>
      </c>
      <c r="L12" s="189">
        <v>0</v>
      </c>
    </row>
    <row r="13" spans="1:12" ht="22.15" customHeight="1" x14ac:dyDescent="0.2">
      <c r="B13" s="191" t="s">
        <v>223</v>
      </c>
      <c r="C13" s="183">
        <v>1</v>
      </c>
      <c r="D13" s="184" t="s">
        <v>38</v>
      </c>
      <c r="E13" s="185">
        <v>54000</v>
      </c>
      <c r="F13" s="185">
        <f t="shared" si="1"/>
        <v>54000</v>
      </c>
      <c r="G13" s="185">
        <v>0</v>
      </c>
      <c r="H13" s="185">
        <v>0</v>
      </c>
      <c r="I13" s="185">
        <f t="shared" si="0"/>
        <v>54000</v>
      </c>
      <c r="J13" s="187"/>
      <c r="K13" s="188">
        <v>0</v>
      </c>
      <c r="L13" s="189">
        <v>0</v>
      </c>
    </row>
    <row r="14" spans="1:12" ht="22.15" customHeight="1" x14ac:dyDescent="0.2">
      <c r="B14" s="190" t="s">
        <v>224</v>
      </c>
      <c r="C14" s="183">
        <v>2</v>
      </c>
      <c r="D14" s="184" t="s">
        <v>38</v>
      </c>
      <c r="E14" s="185">
        <v>10250</v>
      </c>
      <c r="F14" s="185">
        <f t="shared" si="1"/>
        <v>20500</v>
      </c>
      <c r="G14" s="185">
        <v>0</v>
      </c>
      <c r="H14" s="185">
        <v>0</v>
      </c>
      <c r="I14" s="185">
        <f t="shared" si="0"/>
        <v>20500</v>
      </c>
      <c r="J14" s="187"/>
      <c r="K14" s="188">
        <v>0</v>
      </c>
      <c r="L14" s="189">
        <v>0</v>
      </c>
    </row>
    <row r="15" spans="1:12" ht="22.15" customHeight="1" x14ac:dyDescent="0.2">
      <c r="B15" s="192" t="s">
        <v>225</v>
      </c>
      <c r="C15" s="183">
        <v>1</v>
      </c>
      <c r="D15" s="184" t="s">
        <v>38</v>
      </c>
      <c r="E15" s="185">
        <v>10500</v>
      </c>
      <c r="F15" s="185">
        <f t="shared" si="1"/>
        <v>10500</v>
      </c>
      <c r="G15" s="185">
        <v>0</v>
      </c>
      <c r="H15" s="185">
        <v>0</v>
      </c>
      <c r="I15" s="185">
        <f t="shared" si="0"/>
        <v>10500</v>
      </c>
      <c r="J15" s="187"/>
      <c r="K15" s="188">
        <v>0</v>
      </c>
      <c r="L15" s="189">
        <v>0</v>
      </c>
    </row>
    <row r="16" spans="1:12" ht="15" customHeight="1" thickBot="1" x14ac:dyDescent="0.25">
      <c r="B16" s="193"/>
      <c r="C16" s="98"/>
      <c r="D16" s="98"/>
      <c r="E16" s="194" t="s">
        <v>8</v>
      </c>
      <c r="F16" s="195">
        <f>SUM(F3:F15)</f>
        <v>1594000</v>
      </c>
      <c r="G16" s="195">
        <f>SUM(G15:G15)</f>
        <v>0</v>
      </c>
      <c r="H16" s="195">
        <f>SUM(H15:H15)</f>
        <v>0</v>
      </c>
      <c r="I16" s="195">
        <f>SUM(I3:I15)</f>
        <v>1594000</v>
      </c>
      <c r="J16" s="195"/>
      <c r="K16" s="196">
        <f>SUM(K3:K15)</f>
        <v>0</v>
      </c>
      <c r="L16" s="197"/>
    </row>
    <row r="17" spans="1:12" ht="22.15" customHeight="1" thickBot="1" x14ac:dyDescent="0.3">
      <c r="B17" s="290"/>
      <c r="C17" s="291"/>
      <c r="D17" s="291"/>
      <c r="E17" s="291"/>
      <c r="F17" s="291"/>
      <c r="G17" s="291"/>
      <c r="H17" s="291"/>
      <c r="I17" s="291"/>
      <c r="J17" s="291"/>
      <c r="K17" s="291"/>
      <c r="L17" s="292"/>
    </row>
    <row r="18" spans="1:12" ht="22.15" customHeight="1" x14ac:dyDescent="0.2">
      <c r="A18" s="63"/>
      <c r="B18" s="103" t="s">
        <v>226</v>
      </c>
      <c r="C18" s="198">
        <v>1</v>
      </c>
      <c r="D18" s="199" t="s">
        <v>38</v>
      </c>
      <c r="E18" s="123">
        <f>'Capital Projects'!J67</f>
        <v>1644830</v>
      </c>
      <c r="F18" s="200">
        <f>+E18*C18</f>
        <v>1644830</v>
      </c>
      <c r="G18" s="200">
        <v>0</v>
      </c>
      <c r="H18" s="200">
        <v>0</v>
      </c>
      <c r="I18" s="200">
        <f>SUM(F18:H18)</f>
        <v>1644830</v>
      </c>
      <c r="J18" s="201"/>
      <c r="K18" s="202"/>
      <c r="L18" s="203"/>
    </row>
    <row r="19" spans="1:12" ht="22.15" customHeight="1" x14ac:dyDescent="0.2">
      <c r="B19" s="100"/>
      <c r="C19" s="204"/>
      <c r="D19" s="205"/>
      <c r="E19" s="186"/>
      <c r="F19" s="206"/>
      <c r="G19" s="206"/>
      <c r="H19" s="206"/>
      <c r="I19" s="206"/>
      <c r="J19" s="207"/>
      <c r="K19" s="208"/>
      <c r="L19" s="209"/>
    </row>
    <row r="20" spans="1:12" ht="22.15" customHeight="1" x14ac:dyDescent="0.2">
      <c r="B20" s="104"/>
      <c r="C20" s="210"/>
      <c r="D20" s="211"/>
      <c r="E20" s="212"/>
      <c r="F20" s="206"/>
      <c r="G20" s="206"/>
      <c r="H20" s="206"/>
      <c r="I20" s="206"/>
      <c r="J20" s="207"/>
      <c r="K20" s="208"/>
      <c r="L20" s="209"/>
    </row>
    <row r="21" spans="1:12" ht="22.15" customHeight="1" x14ac:dyDescent="0.2">
      <c r="A21" s="63"/>
      <c r="B21" s="105"/>
      <c r="C21" s="213"/>
      <c r="D21" s="99"/>
      <c r="E21" s="214"/>
      <c r="F21" s="206"/>
      <c r="G21" s="206"/>
      <c r="H21" s="206"/>
      <c r="I21" s="206"/>
      <c r="J21" s="207"/>
      <c r="K21" s="208"/>
      <c r="L21" s="209"/>
    </row>
    <row r="22" spans="1:12" ht="22.15" customHeight="1" x14ac:dyDescent="0.2">
      <c r="B22" s="104"/>
      <c r="C22" s="210"/>
      <c r="D22" s="211"/>
      <c r="E22" s="215"/>
      <c r="F22" s="206"/>
      <c r="G22" s="206"/>
      <c r="H22" s="206"/>
      <c r="I22" s="206"/>
      <c r="J22" s="207"/>
      <c r="K22" s="216"/>
      <c r="L22" s="209"/>
    </row>
    <row r="23" spans="1:12" ht="22.15" customHeight="1" x14ac:dyDescent="0.2">
      <c r="B23" s="104"/>
      <c r="C23" s="210"/>
      <c r="D23" s="211"/>
      <c r="E23" s="215"/>
      <c r="F23" s="206"/>
      <c r="G23" s="206"/>
      <c r="H23" s="206"/>
      <c r="I23" s="206"/>
      <c r="J23" s="207"/>
      <c r="K23" s="216"/>
      <c r="L23" s="209"/>
    </row>
    <row r="24" spans="1:12" ht="22.15" customHeight="1" x14ac:dyDescent="0.2">
      <c r="B24" s="100"/>
      <c r="C24" s="204"/>
      <c r="D24" s="205"/>
      <c r="E24" s="186"/>
      <c r="F24" s="217"/>
      <c r="G24" s="217"/>
      <c r="H24" s="217"/>
      <c r="I24" s="206"/>
      <c r="J24" s="207"/>
      <c r="K24" s="216"/>
      <c r="L24" s="209"/>
    </row>
    <row r="25" spans="1:12" ht="22.15" customHeight="1" thickBot="1" x14ac:dyDescent="0.25">
      <c r="B25" s="218"/>
      <c r="C25" s="219"/>
      <c r="D25" s="220"/>
      <c r="E25" s="221"/>
      <c r="F25" s="222"/>
      <c r="G25" s="222"/>
      <c r="H25" s="222"/>
      <c r="I25" s="222"/>
      <c r="J25" s="223"/>
      <c r="K25" s="224"/>
      <c r="L25" s="225"/>
    </row>
    <row r="26" spans="1:12" ht="15" customHeight="1" x14ac:dyDescent="0.2">
      <c r="A26" s="63"/>
      <c r="B26" s="75"/>
      <c r="C26" s="75"/>
      <c r="D26" s="75"/>
      <c r="E26" s="76" t="s">
        <v>8</v>
      </c>
      <c r="F26" s="77">
        <f>SUM(F18:F25)</f>
        <v>1644830</v>
      </c>
      <c r="G26" s="77">
        <f>SUM(G18:G25)</f>
        <v>0</v>
      </c>
      <c r="H26" s="77">
        <f>SUM(H18:H25)</f>
        <v>0</v>
      </c>
      <c r="I26" s="77">
        <f>SUM(I18:I25)</f>
        <v>1644830</v>
      </c>
      <c r="J26" s="75"/>
      <c r="K26" s="77"/>
      <c r="L26" s="78"/>
    </row>
    <row r="27" spans="1:12" ht="22.15" customHeight="1" thickBot="1" x14ac:dyDescent="0.25">
      <c r="B27" s="226"/>
      <c r="C27" s="227"/>
      <c r="D27" s="227"/>
      <c r="E27" s="64" t="s">
        <v>39</v>
      </c>
      <c r="F27" s="65">
        <f>F16+F26</f>
        <v>3238830</v>
      </c>
      <c r="G27" s="65">
        <f>G16+G26</f>
        <v>0</v>
      </c>
      <c r="H27" s="65">
        <f>H16+H26</f>
        <v>0</v>
      </c>
      <c r="I27" s="65">
        <f>I16+I26</f>
        <v>3238830</v>
      </c>
      <c r="J27" s="65"/>
      <c r="K27" s="65"/>
      <c r="L27" s="228"/>
    </row>
    <row r="28" spans="1:12" x14ac:dyDescent="0.2">
      <c r="B28" s="229"/>
      <c r="C28" s="229"/>
      <c r="D28" s="229"/>
      <c r="E28" s="229"/>
      <c r="F28" s="102"/>
      <c r="G28" s="102"/>
      <c r="H28" s="102"/>
      <c r="I28" s="102"/>
      <c r="J28" s="230"/>
      <c r="K28" s="230"/>
      <c r="L28" s="230"/>
    </row>
    <row r="29" spans="1:12" ht="1.5" customHeight="1" x14ac:dyDescent="0.2">
      <c r="B29" s="102" t="s">
        <v>117</v>
      </c>
      <c r="J29" s="231"/>
      <c r="L29" s="2" t="s">
        <v>3</v>
      </c>
    </row>
  </sheetData>
  <mergeCells count="2">
    <mergeCell ref="B1:L1"/>
    <mergeCell ref="B17:L17"/>
  </mergeCells>
  <pageMargins left="0.25" right="0.16" top="0.85" bottom="0.25" header="0.5" footer="0.5"/>
  <pageSetup scale="80" orientation="landscape" r:id="rId1"/>
  <headerFooter alignWithMargins="0">
    <oddFooter>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5"/>
  <sheetViews>
    <sheetView zoomScaleNormal="100" zoomScaleSheetLayoutView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F28" sqref="F28"/>
    </sheetView>
  </sheetViews>
  <sheetFormatPr defaultColWidth="8.85546875" defaultRowHeight="12.75" x14ac:dyDescent="0.2"/>
  <cols>
    <col min="1" max="1" width="3.42578125" style="31" customWidth="1"/>
    <col min="2" max="2" width="43" style="30" customWidth="1"/>
    <col min="3" max="6" width="13.140625" style="32" bestFit="1" customWidth="1"/>
    <col min="7" max="7" width="13.5703125" style="32" bestFit="1" customWidth="1"/>
    <col min="8" max="16384" width="8.85546875" style="30"/>
  </cols>
  <sheetData>
    <row r="1" spans="1:8" ht="13.5" thickBot="1" x14ac:dyDescent="0.25">
      <c r="A1" s="45"/>
      <c r="B1" s="46"/>
      <c r="C1" s="47"/>
      <c r="D1" s="47"/>
      <c r="G1" s="47"/>
    </row>
    <row r="2" spans="1:8" s="29" customFormat="1" ht="76.150000000000006" customHeight="1" thickBot="1" x14ac:dyDescent="0.35">
      <c r="A2" s="293" t="s">
        <v>126</v>
      </c>
      <c r="B2" s="294"/>
      <c r="C2" s="33" t="s">
        <v>207</v>
      </c>
      <c r="D2" s="33" t="s">
        <v>208</v>
      </c>
      <c r="E2" s="33" t="s">
        <v>209</v>
      </c>
      <c r="F2" s="94" t="s">
        <v>210</v>
      </c>
      <c r="G2" s="95" t="s">
        <v>211</v>
      </c>
    </row>
    <row r="3" spans="1:8" x14ac:dyDescent="0.2">
      <c r="A3" s="48" t="s">
        <v>13</v>
      </c>
      <c r="B3" s="49"/>
      <c r="C3" s="70"/>
      <c r="D3" s="70"/>
      <c r="E3" s="70"/>
      <c r="F3" s="70"/>
      <c r="G3" s="70"/>
    </row>
    <row r="4" spans="1:8" x14ac:dyDescent="0.2">
      <c r="A4" s="50"/>
      <c r="B4" s="40" t="s">
        <v>41</v>
      </c>
      <c r="C4" s="79">
        <v>1268511</v>
      </c>
      <c r="D4" s="79">
        <v>1272000</v>
      </c>
      <c r="E4" s="106">
        <v>1421969</v>
      </c>
      <c r="F4" s="106">
        <f>'Available Funds'!H2*0.83</f>
        <v>1428845</v>
      </c>
      <c r="G4" s="79">
        <f>F4-E4</f>
        <v>6876</v>
      </c>
    </row>
    <row r="5" spans="1:8" x14ac:dyDescent="0.2">
      <c r="A5" s="50"/>
      <c r="B5" s="40" t="s">
        <v>42</v>
      </c>
      <c r="C5" s="79">
        <v>258432</v>
      </c>
      <c r="D5" s="79">
        <v>258432</v>
      </c>
      <c r="E5" s="106">
        <v>249500</v>
      </c>
      <c r="F5" s="106">
        <f>'Available Funds'!H2*0.14</f>
        <v>241010.00000000003</v>
      </c>
      <c r="G5" s="79">
        <f>F5-E5</f>
        <v>-8489.9999999999709</v>
      </c>
    </row>
    <row r="6" spans="1:8" x14ac:dyDescent="0.2">
      <c r="A6" s="50"/>
      <c r="B6" s="40" t="s">
        <v>43</v>
      </c>
      <c r="C6" s="79">
        <v>50031.25</v>
      </c>
      <c r="D6" s="79">
        <v>50031</v>
      </c>
      <c r="E6" s="106">
        <f>+C6</f>
        <v>50031.25</v>
      </c>
      <c r="F6" s="106">
        <f>'Available Funds'!H2*0.03</f>
        <v>51645</v>
      </c>
      <c r="G6" s="79">
        <v>0</v>
      </c>
    </row>
    <row r="7" spans="1:8" ht="13.5" thickBot="1" x14ac:dyDescent="0.25">
      <c r="A7" s="51"/>
      <c r="B7" s="52" t="s">
        <v>8</v>
      </c>
      <c r="C7" s="82">
        <f>SUM(C4:C6)</f>
        <v>1576974.25</v>
      </c>
      <c r="D7" s="81">
        <f>SUM(D4:D6)</f>
        <v>1580463</v>
      </c>
      <c r="E7" s="82">
        <f>SUM(E4:E6)</f>
        <v>1721500.25</v>
      </c>
      <c r="F7" s="82">
        <f>SUM(F4:F6)</f>
        <v>1721500</v>
      </c>
      <c r="G7" s="81">
        <f>SUM(G4:G6)</f>
        <v>-1613.9999999999709</v>
      </c>
    </row>
    <row r="8" spans="1:8" x14ac:dyDescent="0.2">
      <c r="A8" s="53" t="s">
        <v>14</v>
      </c>
      <c r="B8" s="54"/>
      <c r="C8" s="39"/>
      <c r="D8" s="39"/>
      <c r="E8" s="39"/>
      <c r="F8" s="39"/>
      <c r="G8" s="39"/>
    </row>
    <row r="9" spans="1:8" x14ac:dyDescent="0.2">
      <c r="A9" s="50"/>
      <c r="B9" s="40" t="s">
        <v>44</v>
      </c>
      <c r="C9" s="79">
        <v>642030</v>
      </c>
      <c r="D9" s="79">
        <v>645000</v>
      </c>
      <c r="E9" s="79">
        <v>725000</v>
      </c>
      <c r="F9" s="79">
        <f>'Available Funds'!H3*0.91</f>
        <v>682500</v>
      </c>
      <c r="G9" s="79">
        <f>F9-E9</f>
        <v>-42500</v>
      </c>
      <c r="H9" s="171"/>
    </row>
    <row r="10" spans="1:8" x14ac:dyDescent="0.2">
      <c r="A10" s="50"/>
      <c r="B10" s="40" t="s">
        <v>45</v>
      </c>
      <c r="C10" s="79">
        <v>88851</v>
      </c>
      <c r="D10" s="79">
        <v>88851</v>
      </c>
      <c r="E10" s="79">
        <v>0</v>
      </c>
      <c r="F10" s="79">
        <f>'Available Funds'!H3*0.06</f>
        <v>45000</v>
      </c>
      <c r="G10" s="79">
        <f>F10-E10</f>
        <v>45000</v>
      </c>
      <c r="H10" s="171"/>
    </row>
    <row r="11" spans="1:8" x14ac:dyDescent="0.2">
      <c r="A11" s="50"/>
      <c r="B11" s="40" t="s">
        <v>46</v>
      </c>
      <c r="C11" s="79">
        <v>30000</v>
      </c>
      <c r="D11" s="79">
        <v>30000</v>
      </c>
      <c r="E11" s="79">
        <v>75000</v>
      </c>
      <c r="F11" s="79">
        <f>'Available Funds'!H3*0.03</f>
        <v>22500</v>
      </c>
      <c r="G11" s="79">
        <f>F11-E11</f>
        <v>-52500</v>
      </c>
      <c r="H11" s="171"/>
    </row>
    <row r="12" spans="1:8" ht="13.5" thickBot="1" x14ac:dyDescent="0.25">
      <c r="A12" s="51"/>
      <c r="B12" s="52" t="s">
        <v>8</v>
      </c>
      <c r="C12" s="82">
        <f>SUM(C9:C11)</f>
        <v>760881</v>
      </c>
      <c r="D12" s="81">
        <f>SUM(D9:D11)</f>
        <v>763851</v>
      </c>
      <c r="E12" s="81">
        <f>SUM(E9:E11)</f>
        <v>800000</v>
      </c>
      <c r="F12" s="81">
        <f>SUM(F9:F11)</f>
        <v>750000</v>
      </c>
      <c r="G12" s="81">
        <f>SUM(G9:G11)</f>
        <v>-50000</v>
      </c>
    </row>
    <row r="13" spans="1:8" x14ac:dyDescent="0.2">
      <c r="A13" s="53" t="s">
        <v>15</v>
      </c>
      <c r="B13" s="54"/>
      <c r="C13" s="39"/>
      <c r="D13" s="39"/>
      <c r="E13" s="39"/>
      <c r="F13" s="39"/>
      <c r="G13" s="39"/>
    </row>
    <row r="14" spans="1:8" x14ac:dyDescent="0.2">
      <c r="A14" s="50"/>
      <c r="B14" s="40" t="s">
        <v>47</v>
      </c>
      <c r="C14" s="79">
        <v>692982</v>
      </c>
      <c r="D14" s="79">
        <v>695000</v>
      </c>
      <c r="E14" s="79">
        <v>667000</v>
      </c>
      <c r="F14" s="79">
        <v>690000</v>
      </c>
      <c r="G14" s="79">
        <f>F14-E14</f>
        <v>23000</v>
      </c>
    </row>
    <row r="15" spans="1:8" x14ac:dyDescent="0.2">
      <c r="A15" s="50"/>
      <c r="B15" s="40" t="s">
        <v>48</v>
      </c>
      <c r="C15" s="79">
        <v>342380</v>
      </c>
      <c r="D15" s="79">
        <v>342380</v>
      </c>
      <c r="E15" s="79">
        <v>345000</v>
      </c>
      <c r="F15" s="79">
        <v>345000</v>
      </c>
      <c r="G15" s="79">
        <f>F15-E15</f>
        <v>0</v>
      </c>
    </row>
    <row r="16" spans="1:8" x14ac:dyDescent="0.2">
      <c r="A16" s="50"/>
      <c r="B16" s="40" t="s">
        <v>49</v>
      </c>
      <c r="C16" s="79">
        <v>50800</v>
      </c>
      <c r="D16" s="79">
        <v>55000</v>
      </c>
      <c r="E16" s="79">
        <v>40000</v>
      </c>
      <c r="F16" s="79">
        <v>40000</v>
      </c>
      <c r="G16" s="79">
        <f>F16-E16</f>
        <v>0</v>
      </c>
    </row>
    <row r="17" spans="1:7" ht="13.5" thickBot="1" x14ac:dyDescent="0.25">
      <c r="A17" s="51"/>
      <c r="B17" s="52" t="s">
        <v>8</v>
      </c>
      <c r="C17" s="82">
        <f>SUM(C14:C16)</f>
        <v>1086162</v>
      </c>
      <c r="D17" s="81">
        <f>SUM(D14:D16)</f>
        <v>1092380</v>
      </c>
      <c r="E17" s="81">
        <f>SUM(E14:E16)</f>
        <v>1052000</v>
      </c>
      <c r="F17" s="81">
        <f>SUM(F14:F16)</f>
        <v>1075000</v>
      </c>
      <c r="G17" s="81">
        <f>SUM(G14:G16)</f>
        <v>23000</v>
      </c>
    </row>
    <row r="18" spans="1:7" x14ac:dyDescent="0.2">
      <c r="A18" s="53" t="s">
        <v>16</v>
      </c>
      <c r="B18" s="54"/>
      <c r="C18" s="39"/>
      <c r="D18" s="39"/>
      <c r="E18" s="39"/>
      <c r="F18" s="39"/>
      <c r="G18" s="39"/>
    </row>
    <row r="19" spans="1:7" x14ac:dyDescent="0.2">
      <c r="A19" s="50"/>
      <c r="B19" s="40" t="s">
        <v>50</v>
      </c>
      <c r="C19" s="79">
        <v>121250</v>
      </c>
      <c r="D19" s="79">
        <v>130000</v>
      </c>
      <c r="E19" s="79">
        <v>60000</v>
      </c>
      <c r="F19" s="79">
        <v>60000</v>
      </c>
      <c r="G19" s="79">
        <f t="shared" ref="G19:G25" si="0">F19-E19</f>
        <v>0</v>
      </c>
    </row>
    <row r="20" spans="1:7" x14ac:dyDescent="0.2">
      <c r="A20" s="50"/>
      <c r="B20" s="40" t="s">
        <v>51</v>
      </c>
      <c r="C20" s="79">
        <v>3000</v>
      </c>
      <c r="D20" s="79">
        <v>3000</v>
      </c>
      <c r="E20" s="79">
        <v>5000</v>
      </c>
      <c r="F20" s="79">
        <v>5000</v>
      </c>
      <c r="G20" s="79">
        <f t="shared" si="0"/>
        <v>0</v>
      </c>
    </row>
    <row r="21" spans="1:7" x14ac:dyDescent="0.2">
      <c r="A21" s="50"/>
      <c r="B21" s="40" t="s">
        <v>52</v>
      </c>
      <c r="C21" s="79">
        <v>76327</v>
      </c>
      <c r="D21" s="79">
        <v>80000</v>
      </c>
      <c r="E21" s="79">
        <v>100000</v>
      </c>
      <c r="F21" s="79">
        <v>100000</v>
      </c>
      <c r="G21" s="79">
        <f t="shared" si="0"/>
        <v>0</v>
      </c>
    </row>
    <row r="22" spans="1:7" x14ac:dyDescent="0.2">
      <c r="A22" s="50"/>
      <c r="B22" s="40" t="s">
        <v>139</v>
      </c>
      <c r="C22" s="79">
        <v>1600000</v>
      </c>
      <c r="D22" s="79">
        <v>1600000</v>
      </c>
      <c r="E22" s="79">
        <v>0</v>
      </c>
      <c r="F22" s="79">
        <v>500000</v>
      </c>
      <c r="G22" s="79">
        <f t="shared" si="0"/>
        <v>500000</v>
      </c>
    </row>
    <row r="23" spans="1:7" x14ac:dyDescent="0.2">
      <c r="A23" s="50"/>
      <c r="B23" s="40" t="s">
        <v>178</v>
      </c>
      <c r="C23" s="79">
        <v>1798857</v>
      </c>
      <c r="D23" s="79">
        <v>1900000</v>
      </c>
      <c r="E23" s="79">
        <v>731500</v>
      </c>
      <c r="F23" s="79">
        <v>750000</v>
      </c>
      <c r="G23" s="79">
        <f t="shared" si="0"/>
        <v>18500</v>
      </c>
    </row>
    <row r="24" spans="1:7" hidden="1" x14ac:dyDescent="0.2">
      <c r="A24" s="50"/>
      <c r="B24" s="40" t="s">
        <v>53</v>
      </c>
      <c r="C24" s="79">
        <v>0</v>
      </c>
      <c r="D24" s="176">
        <v>0</v>
      </c>
      <c r="E24" s="79">
        <f t="shared" ref="E24:F24" si="1">C24-D24</f>
        <v>0</v>
      </c>
      <c r="F24" s="79">
        <f t="shared" si="1"/>
        <v>0</v>
      </c>
      <c r="G24" s="79">
        <f t="shared" si="0"/>
        <v>0</v>
      </c>
    </row>
    <row r="25" spans="1:7" x14ac:dyDescent="0.2">
      <c r="A25" s="55"/>
      <c r="B25" s="56" t="s">
        <v>179</v>
      </c>
      <c r="C25" s="79">
        <v>182375</v>
      </c>
      <c r="D25" s="79">
        <v>730507</v>
      </c>
      <c r="E25" s="79">
        <v>725000</v>
      </c>
      <c r="F25" s="79">
        <v>750000</v>
      </c>
      <c r="G25" s="79">
        <f t="shared" si="0"/>
        <v>25000</v>
      </c>
    </row>
    <row r="26" spans="1:7" ht="13.5" thickBot="1" x14ac:dyDescent="0.25">
      <c r="A26" s="51"/>
      <c r="B26" s="52" t="s">
        <v>8</v>
      </c>
      <c r="C26" s="81">
        <f>SUM(C18:C25)</f>
        <v>3781809</v>
      </c>
      <c r="D26" s="81">
        <f>SUM(D18:D25)</f>
        <v>4443507</v>
      </c>
      <c r="E26" s="81">
        <f>SUM(E18:E25)</f>
        <v>1621500</v>
      </c>
      <c r="F26" s="81">
        <f>SUM(F19:F25)</f>
        <v>2165000</v>
      </c>
      <c r="G26" s="81">
        <f>SUM(G19:G25)</f>
        <v>543500</v>
      </c>
    </row>
    <row r="27" spans="1:7" x14ac:dyDescent="0.2">
      <c r="A27" s="53" t="s">
        <v>17</v>
      </c>
      <c r="B27" s="54"/>
      <c r="C27" s="39"/>
      <c r="D27" s="39"/>
      <c r="E27" s="39"/>
      <c r="F27" s="39"/>
      <c r="G27" s="39"/>
    </row>
    <row r="28" spans="1:7" x14ac:dyDescent="0.2">
      <c r="A28" s="50"/>
      <c r="B28" s="40" t="s">
        <v>54</v>
      </c>
      <c r="C28" s="79">
        <v>969284</v>
      </c>
      <c r="D28" s="79">
        <v>969284</v>
      </c>
      <c r="E28" s="79">
        <v>800000</v>
      </c>
      <c r="F28" s="79">
        <v>500000</v>
      </c>
      <c r="G28" s="79">
        <f t="shared" ref="G28:G31" si="2">F28-E28</f>
        <v>-300000</v>
      </c>
    </row>
    <row r="29" spans="1:7" x14ac:dyDescent="0.2">
      <c r="A29" s="50"/>
      <c r="B29" s="40" t="s">
        <v>55</v>
      </c>
      <c r="C29" s="79">
        <v>137301</v>
      </c>
      <c r="D29" s="79">
        <v>437301</v>
      </c>
      <c r="E29" s="79">
        <v>500000</v>
      </c>
      <c r="F29" s="79">
        <v>500000</v>
      </c>
      <c r="G29" s="79">
        <f t="shared" si="2"/>
        <v>0</v>
      </c>
    </row>
    <row r="30" spans="1:7" x14ac:dyDescent="0.2">
      <c r="A30" s="50"/>
      <c r="B30" s="40" t="s">
        <v>56</v>
      </c>
      <c r="C30" s="79">
        <v>30711</v>
      </c>
      <c r="D30" s="79">
        <v>30711</v>
      </c>
      <c r="E30" s="79">
        <v>100000</v>
      </c>
      <c r="F30" s="79">
        <v>100000</v>
      </c>
      <c r="G30" s="79">
        <f t="shared" si="2"/>
        <v>0</v>
      </c>
    </row>
    <row r="31" spans="1:7" x14ac:dyDescent="0.2">
      <c r="A31" s="50"/>
      <c r="B31" s="40" t="s">
        <v>57</v>
      </c>
      <c r="C31" s="79">
        <v>8000</v>
      </c>
      <c r="D31" s="79">
        <v>8000</v>
      </c>
      <c r="E31" s="79">
        <v>8000</v>
      </c>
      <c r="F31" s="79">
        <v>8000</v>
      </c>
      <c r="G31" s="79">
        <f t="shared" si="2"/>
        <v>0</v>
      </c>
    </row>
    <row r="32" spans="1:7" ht="13.5" thickBot="1" x14ac:dyDescent="0.25">
      <c r="A32" s="51"/>
      <c r="B32" s="52" t="s">
        <v>8</v>
      </c>
      <c r="C32" s="81">
        <f>SUM(C27:C31)</f>
        <v>1145296</v>
      </c>
      <c r="D32" s="81">
        <f>SUM(D27:D31)</f>
        <v>1445296</v>
      </c>
      <c r="E32" s="81">
        <f>SUM(E27:E31)</f>
        <v>1408000</v>
      </c>
      <c r="F32" s="81">
        <f>SUM(F28:F31)</f>
        <v>1108000</v>
      </c>
      <c r="G32" s="81">
        <f>SUM(G28:G31)</f>
        <v>-300000</v>
      </c>
    </row>
    <row r="33" spans="1:7" x14ac:dyDescent="0.2">
      <c r="A33" s="53" t="s">
        <v>18</v>
      </c>
      <c r="B33" s="54"/>
      <c r="C33" s="39"/>
      <c r="D33" s="39"/>
      <c r="E33" s="39"/>
      <c r="F33" s="39"/>
      <c r="G33" s="39"/>
    </row>
    <row r="34" spans="1:7" x14ac:dyDescent="0.2">
      <c r="A34" s="50"/>
      <c r="B34" s="40" t="s">
        <v>58</v>
      </c>
      <c r="C34" s="79">
        <v>3093</v>
      </c>
      <c r="D34" s="79">
        <v>3200</v>
      </c>
      <c r="E34" s="79">
        <v>2000</v>
      </c>
      <c r="F34" s="79">
        <v>2000</v>
      </c>
      <c r="G34" s="79">
        <f t="shared" ref="G34:G40" si="3">F34-E34</f>
        <v>0</v>
      </c>
    </row>
    <row r="35" spans="1:7" x14ac:dyDescent="0.2">
      <c r="A35" s="50"/>
      <c r="B35" s="40" t="s">
        <v>59</v>
      </c>
      <c r="C35" s="79">
        <v>12369</v>
      </c>
      <c r="D35" s="79">
        <v>20000</v>
      </c>
      <c r="E35" s="79">
        <v>75000</v>
      </c>
      <c r="F35" s="79">
        <v>75000</v>
      </c>
      <c r="G35" s="79">
        <f t="shared" si="3"/>
        <v>0</v>
      </c>
    </row>
    <row r="36" spans="1:7" x14ac:dyDescent="0.2">
      <c r="A36" s="50"/>
      <c r="B36" s="40" t="s">
        <v>60</v>
      </c>
      <c r="C36" s="79">
        <v>41469</v>
      </c>
      <c r="D36" s="79">
        <v>45000</v>
      </c>
      <c r="E36" s="79">
        <v>10000</v>
      </c>
      <c r="F36" s="79">
        <v>10000</v>
      </c>
      <c r="G36" s="79">
        <f t="shared" si="3"/>
        <v>0</v>
      </c>
    </row>
    <row r="37" spans="1:7" x14ac:dyDescent="0.2">
      <c r="A37" s="50"/>
      <c r="B37" s="40" t="s">
        <v>61</v>
      </c>
      <c r="C37" s="79">
        <v>90</v>
      </c>
      <c r="D37" s="79">
        <v>90</v>
      </c>
      <c r="E37" s="79">
        <v>100</v>
      </c>
      <c r="F37" s="79">
        <v>100</v>
      </c>
      <c r="G37" s="79">
        <f t="shared" si="3"/>
        <v>0</v>
      </c>
    </row>
    <row r="38" spans="1:7" x14ac:dyDescent="0.2">
      <c r="A38" s="50"/>
      <c r="B38" s="40" t="s">
        <v>62</v>
      </c>
      <c r="C38" s="79">
        <v>33946</v>
      </c>
      <c r="D38" s="79">
        <v>38000</v>
      </c>
      <c r="E38" s="79">
        <v>45000</v>
      </c>
      <c r="F38" s="79">
        <v>45000</v>
      </c>
      <c r="G38" s="79">
        <f t="shared" si="3"/>
        <v>0</v>
      </c>
    </row>
    <row r="39" spans="1:7" x14ac:dyDescent="0.2">
      <c r="A39" s="50"/>
      <c r="B39" s="40" t="s">
        <v>63</v>
      </c>
      <c r="C39" s="79">
        <v>925</v>
      </c>
      <c r="D39" s="79">
        <v>925</v>
      </c>
      <c r="E39" s="79">
        <v>500</v>
      </c>
      <c r="F39" s="79">
        <v>500</v>
      </c>
      <c r="G39" s="79">
        <f t="shared" si="3"/>
        <v>0</v>
      </c>
    </row>
    <row r="40" spans="1:7" x14ac:dyDescent="0.2">
      <c r="A40" s="55"/>
      <c r="B40" s="56" t="s">
        <v>118</v>
      </c>
      <c r="C40" s="79">
        <v>14875</v>
      </c>
      <c r="D40" s="79">
        <v>14875</v>
      </c>
      <c r="E40" s="79">
        <v>5000</v>
      </c>
      <c r="F40" s="79">
        <v>5000</v>
      </c>
      <c r="G40" s="79">
        <f t="shared" si="3"/>
        <v>0</v>
      </c>
    </row>
    <row r="41" spans="1:7" ht="13.5" thickBot="1" x14ac:dyDescent="0.25">
      <c r="A41" s="51"/>
      <c r="B41" s="52" t="s">
        <v>8</v>
      </c>
      <c r="C41" s="81">
        <f>SUM(C33:C40)</f>
        <v>106767</v>
      </c>
      <c r="D41" s="81">
        <f>SUM(D33:D40)</f>
        <v>122090</v>
      </c>
      <c r="E41" s="81">
        <f>SUM(E34:E40)</f>
        <v>137600</v>
      </c>
      <c r="F41" s="81">
        <f>SUM(F34:F40)</f>
        <v>137600</v>
      </c>
      <c r="G41" s="81">
        <f>SUM(G34:G40)</f>
        <v>0</v>
      </c>
    </row>
    <row r="42" spans="1:7" x14ac:dyDescent="0.2">
      <c r="A42" s="53" t="s">
        <v>19</v>
      </c>
      <c r="B42" s="54"/>
      <c r="C42" s="39"/>
      <c r="D42" s="39"/>
      <c r="E42" s="39"/>
      <c r="F42" s="39"/>
      <c r="G42" s="39"/>
    </row>
    <row r="43" spans="1:7" x14ac:dyDescent="0.2">
      <c r="A43" s="50"/>
      <c r="B43" s="40" t="s">
        <v>19</v>
      </c>
      <c r="C43" s="79">
        <v>931085</v>
      </c>
      <c r="D43" s="79">
        <v>931085</v>
      </c>
      <c r="E43" s="79">
        <v>580000</v>
      </c>
      <c r="F43" s="79">
        <v>805000</v>
      </c>
      <c r="G43" s="79">
        <f>F43-E43</f>
        <v>225000</v>
      </c>
    </row>
    <row r="44" spans="1:7" ht="13.5" thickBot="1" x14ac:dyDescent="0.25">
      <c r="A44" s="51"/>
      <c r="B44" s="52" t="s">
        <v>8</v>
      </c>
      <c r="C44" s="81">
        <f>SUM(C42:C43)</f>
        <v>931085</v>
      </c>
      <c r="D44" s="81">
        <f>SUM(D42:D43)</f>
        <v>931085</v>
      </c>
      <c r="E44" s="81">
        <f>SUM(E42:E43)</f>
        <v>580000</v>
      </c>
      <c r="F44" s="81">
        <f>SUM(F43)</f>
        <v>805000</v>
      </c>
      <c r="G44" s="81">
        <f>SUM(G43)</f>
        <v>225000</v>
      </c>
    </row>
    <row r="45" spans="1:7" x14ac:dyDescent="0.2">
      <c r="A45" s="53" t="s">
        <v>20</v>
      </c>
      <c r="B45" s="54"/>
      <c r="C45" s="39"/>
      <c r="D45" s="39"/>
      <c r="E45" s="39"/>
      <c r="F45" s="39"/>
      <c r="G45" s="39"/>
    </row>
    <row r="46" spans="1:7" hidden="1" x14ac:dyDescent="0.2">
      <c r="A46" s="50"/>
      <c r="B46" s="40" t="s">
        <v>64</v>
      </c>
      <c r="C46" s="79">
        <v>0</v>
      </c>
      <c r="D46" s="79">
        <v>0</v>
      </c>
      <c r="E46" s="79">
        <v>0</v>
      </c>
      <c r="F46" s="79">
        <f>D46-E46</f>
        <v>0</v>
      </c>
      <c r="G46" s="79">
        <f t="shared" ref="G46:G49" si="4">F46-E46</f>
        <v>0</v>
      </c>
    </row>
    <row r="47" spans="1:7" hidden="1" x14ac:dyDescent="0.2">
      <c r="A47" s="50"/>
      <c r="B47" s="40" t="s">
        <v>65</v>
      </c>
      <c r="C47" s="79">
        <v>0</v>
      </c>
      <c r="D47" s="79">
        <v>0</v>
      </c>
      <c r="E47" s="79">
        <v>0</v>
      </c>
      <c r="F47" s="79">
        <f t="shared" ref="F47" si="5">D47-E47</f>
        <v>0</v>
      </c>
      <c r="G47" s="79">
        <f t="shared" si="4"/>
        <v>0</v>
      </c>
    </row>
    <row r="48" spans="1:7" x14ac:dyDescent="0.2">
      <c r="A48" s="50"/>
      <c r="B48" s="40" t="s">
        <v>66</v>
      </c>
      <c r="C48" s="79">
        <v>222981</v>
      </c>
      <c r="D48" s="79">
        <v>222981</v>
      </c>
      <c r="E48" s="79">
        <v>40000</v>
      </c>
      <c r="F48" s="79">
        <v>40000</v>
      </c>
      <c r="G48" s="79">
        <f t="shared" si="4"/>
        <v>0</v>
      </c>
    </row>
    <row r="49" spans="1:7" x14ac:dyDescent="0.2">
      <c r="A49" s="55"/>
      <c r="B49" s="56" t="s">
        <v>67</v>
      </c>
      <c r="C49" s="79">
        <v>11308</v>
      </c>
      <c r="D49" s="79">
        <v>11308</v>
      </c>
      <c r="E49" s="79">
        <v>40000</v>
      </c>
      <c r="F49" s="79">
        <v>40000</v>
      </c>
      <c r="G49" s="79">
        <f t="shared" si="4"/>
        <v>0</v>
      </c>
    </row>
    <row r="50" spans="1:7" ht="13.5" thickBot="1" x14ac:dyDescent="0.25">
      <c r="A50" s="51"/>
      <c r="B50" s="52" t="s">
        <v>8</v>
      </c>
      <c r="C50" s="81">
        <f>SUM(C46:C49)</f>
        <v>234289</v>
      </c>
      <c r="D50" s="81">
        <f>SUM(D46:D49)</f>
        <v>234289</v>
      </c>
      <c r="E50" s="81">
        <f>SUM(E46:E49)</f>
        <v>80000</v>
      </c>
      <c r="F50" s="81">
        <f>SUM(F46:F49)</f>
        <v>80000</v>
      </c>
      <c r="G50" s="81">
        <f>SUM(G46:G49)</f>
        <v>0</v>
      </c>
    </row>
    <row r="51" spans="1:7" ht="13.5" thickBot="1" x14ac:dyDescent="0.25">
      <c r="A51" s="57"/>
      <c r="B51" s="58" t="s">
        <v>7</v>
      </c>
      <c r="C51" s="83">
        <f>+C50+C44+C41+C32+C26+C17+C12+C7</f>
        <v>9623263.25</v>
      </c>
      <c r="D51" s="83">
        <f>D7+D12+D17+D26+D32+D41+D44+D50</f>
        <v>10612961</v>
      </c>
      <c r="E51" s="83">
        <f>+E50+E44+E41+E32+E26+E17+E12+E7</f>
        <v>7400600.25</v>
      </c>
      <c r="F51" s="83">
        <f>F7+F12+F17+F26+F32+F41+F44+F50</f>
        <v>7842100</v>
      </c>
      <c r="G51" s="83">
        <f>+G50+G44+G41+G32+G26+G17+G12+G7</f>
        <v>439886</v>
      </c>
    </row>
    <row r="52" spans="1:7" x14ac:dyDescent="0.2">
      <c r="A52" s="30"/>
      <c r="B52" s="295"/>
      <c r="C52" s="295"/>
      <c r="D52" s="295"/>
      <c r="E52" s="30"/>
      <c r="F52" s="30"/>
      <c r="G52" s="30"/>
    </row>
    <row r="53" spans="1:7" x14ac:dyDescent="0.2">
      <c r="A53" s="30"/>
      <c r="C53" s="30"/>
      <c r="D53" s="30"/>
      <c r="E53" s="30"/>
      <c r="F53" s="30"/>
      <c r="G53" s="30"/>
    </row>
    <row r="54" spans="1:7" x14ac:dyDescent="0.2">
      <c r="A54" s="30"/>
      <c r="C54" s="30"/>
      <c r="D54" s="30"/>
      <c r="E54" s="30"/>
      <c r="F54" s="30"/>
      <c r="G54" s="30"/>
    </row>
    <row r="55" spans="1:7" x14ac:dyDescent="0.2">
      <c r="A55" s="30"/>
      <c r="C55" s="30"/>
      <c r="D55" s="30"/>
      <c r="E55" s="30"/>
      <c r="F55" s="30"/>
      <c r="G55" s="30"/>
    </row>
    <row r="56" spans="1:7" x14ac:dyDescent="0.2">
      <c r="A56" s="30"/>
      <c r="C56" s="30"/>
      <c r="D56" s="30"/>
      <c r="E56" s="30"/>
      <c r="F56" s="30"/>
      <c r="G56" s="30"/>
    </row>
    <row r="57" spans="1:7" x14ac:dyDescent="0.2">
      <c r="A57" s="30"/>
      <c r="C57" s="30"/>
      <c r="D57" s="30"/>
      <c r="E57" s="30"/>
      <c r="F57" s="30"/>
      <c r="G57" s="30"/>
    </row>
    <row r="58" spans="1:7" x14ac:dyDescent="0.2">
      <c r="A58" s="30"/>
      <c r="C58" s="30"/>
      <c r="D58" s="30"/>
      <c r="E58" s="30"/>
      <c r="F58" s="30"/>
      <c r="G58" s="30"/>
    </row>
    <row r="59" spans="1:7" x14ac:dyDescent="0.2">
      <c r="A59" s="30"/>
      <c r="C59" s="30"/>
      <c r="D59" s="30"/>
      <c r="E59" s="30"/>
      <c r="F59" s="30"/>
      <c r="G59" s="30"/>
    </row>
    <row r="60" spans="1:7" x14ac:dyDescent="0.2">
      <c r="A60" s="30"/>
      <c r="C60" s="30"/>
      <c r="D60" s="30"/>
      <c r="E60" s="30"/>
      <c r="F60" s="30"/>
      <c r="G60" s="30"/>
    </row>
    <row r="61" spans="1:7" x14ac:dyDescent="0.2">
      <c r="A61" s="30"/>
      <c r="C61" s="30"/>
      <c r="D61" s="30"/>
      <c r="E61" s="30"/>
      <c r="F61" s="30"/>
      <c r="G61" s="30"/>
    </row>
    <row r="62" spans="1:7" x14ac:dyDescent="0.2">
      <c r="A62" s="30"/>
      <c r="C62" s="30"/>
      <c r="D62" s="30"/>
      <c r="E62" s="30"/>
      <c r="F62" s="30"/>
      <c r="G62" s="30"/>
    </row>
    <row r="63" spans="1:7" x14ac:dyDescent="0.2">
      <c r="A63" s="30"/>
      <c r="C63" s="30"/>
      <c r="D63" s="30"/>
      <c r="E63" s="30"/>
      <c r="F63" s="30"/>
      <c r="G63" s="30"/>
    </row>
    <row r="64" spans="1:7" x14ac:dyDescent="0.2">
      <c r="A64" s="30"/>
      <c r="C64" s="30"/>
      <c r="D64" s="30"/>
      <c r="E64" s="30"/>
      <c r="F64" s="30"/>
      <c r="G64" s="30"/>
    </row>
    <row r="65" spans="1:7" x14ac:dyDescent="0.2">
      <c r="A65" s="30"/>
      <c r="C65" s="30"/>
      <c r="D65" s="30"/>
      <c r="E65" s="30"/>
      <c r="F65" s="30"/>
      <c r="G65" s="30"/>
    </row>
    <row r="66" spans="1:7" x14ac:dyDescent="0.2">
      <c r="A66" s="30"/>
      <c r="C66" s="30"/>
      <c r="D66" s="30"/>
      <c r="E66" s="30"/>
      <c r="F66" s="30"/>
      <c r="G66" s="30"/>
    </row>
    <row r="67" spans="1:7" x14ac:dyDescent="0.2">
      <c r="A67" s="30"/>
      <c r="C67" s="30"/>
      <c r="D67" s="30"/>
      <c r="E67" s="30"/>
      <c r="F67" s="30"/>
      <c r="G67" s="30"/>
    </row>
    <row r="68" spans="1:7" x14ac:dyDescent="0.2">
      <c r="A68" s="30"/>
      <c r="C68" s="30"/>
      <c r="D68" s="30"/>
      <c r="E68" s="30"/>
      <c r="F68" s="30"/>
      <c r="G68" s="30"/>
    </row>
    <row r="69" spans="1:7" x14ac:dyDescent="0.2">
      <c r="A69" s="30"/>
      <c r="C69" s="30"/>
      <c r="D69" s="30"/>
      <c r="E69" s="30"/>
      <c r="F69" s="30"/>
      <c r="G69" s="30"/>
    </row>
    <row r="70" spans="1:7" x14ac:dyDescent="0.2">
      <c r="A70" s="30"/>
      <c r="C70" s="30"/>
      <c r="D70" s="30"/>
      <c r="E70" s="30"/>
      <c r="F70" s="30"/>
      <c r="G70" s="30"/>
    </row>
    <row r="71" spans="1:7" x14ac:dyDescent="0.2">
      <c r="A71" s="30"/>
      <c r="C71" s="30"/>
      <c r="D71" s="30"/>
      <c r="E71" s="30"/>
      <c r="F71" s="30"/>
      <c r="G71" s="30"/>
    </row>
    <row r="72" spans="1:7" x14ac:dyDescent="0.2">
      <c r="A72" s="30"/>
      <c r="C72" s="30"/>
      <c r="D72" s="30"/>
      <c r="E72" s="30"/>
      <c r="F72" s="30"/>
      <c r="G72" s="30"/>
    </row>
    <row r="73" spans="1:7" x14ac:dyDescent="0.2">
      <c r="A73" s="30"/>
      <c r="C73" s="30"/>
      <c r="D73" s="30"/>
      <c r="E73" s="30"/>
      <c r="F73" s="30"/>
      <c r="G73" s="30"/>
    </row>
    <row r="74" spans="1:7" x14ac:dyDescent="0.2">
      <c r="A74" s="30"/>
      <c r="C74" s="30"/>
      <c r="D74" s="30"/>
      <c r="E74" s="30"/>
      <c r="F74" s="30"/>
      <c r="G74" s="30"/>
    </row>
    <row r="75" spans="1:7" x14ac:dyDescent="0.2">
      <c r="A75" s="30"/>
      <c r="C75" s="30"/>
      <c r="D75" s="30"/>
      <c r="E75" s="30"/>
      <c r="F75" s="30"/>
      <c r="G75" s="30"/>
    </row>
    <row r="76" spans="1:7" x14ac:dyDescent="0.2">
      <c r="A76" s="30"/>
      <c r="C76" s="30"/>
      <c r="D76" s="30"/>
      <c r="E76" s="30"/>
      <c r="F76" s="30"/>
      <c r="G76" s="30"/>
    </row>
    <row r="77" spans="1:7" x14ac:dyDescent="0.2">
      <c r="A77" s="30"/>
      <c r="C77" s="30"/>
      <c r="D77" s="30"/>
      <c r="E77" s="30"/>
      <c r="F77" s="30"/>
      <c r="G77" s="30"/>
    </row>
    <row r="78" spans="1:7" x14ac:dyDescent="0.2">
      <c r="A78" s="30"/>
      <c r="C78" s="30"/>
      <c r="D78" s="30"/>
      <c r="E78" s="30"/>
      <c r="F78" s="30"/>
      <c r="G78" s="30"/>
    </row>
    <row r="79" spans="1:7" x14ac:dyDescent="0.2">
      <c r="A79" s="30"/>
      <c r="C79" s="30"/>
      <c r="D79" s="30"/>
      <c r="E79" s="30"/>
      <c r="F79" s="30"/>
      <c r="G79" s="30"/>
    </row>
    <row r="80" spans="1:7" x14ac:dyDescent="0.2">
      <c r="A80" s="30"/>
      <c r="C80" s="30"/>
      <c r="D80" s="30"/>
      <c r="E80" s="30"/>
      <c r="F80" s="30"/>
      <c r="G80" s="30"/>
    </row>
    <row r="81" spans="1:7" x14ac:dyDescent="0.2">
      <c r="A81" s="30"/>
      <c r="C81" s="30"/>
      <c r="D81" s="30"/>
      <c r="E81" s="30"/>
      <c r="F81" s="30"/>
      <c r="G81" s="30"/>
    </row>
    <row r="82" spans="1:7" x14ac:dyDescent="0.2">
      <c r="A82" s="30"/>
      <c r="C82" s="30"/>
      <c r="D82" s="30"/>
      <c r="E82" s="30"/>
      <c r="F82" s="30"/>
      <c r="G82" s="30"/>
    </row>
    <row r="83" spans="1:7" x14ac:dyDescent="0.2">
      <c r="A83" s="30"/>
      <c r="C83" s="30"/>
      <c r="D83" s="30"/>
      <c r="E83" s="30"/>
      <c r="F83" s="30"/>
      <c r="G83" s="30"/>
    </row>
    <row r="84" spans="1:7" x14ac:dyDescent="0.2">
      <c r="A84" s="30"/>
      <c r="C84" s="30"/>
      <c r="D84" s="30"/>
      <c r="E84" s="30"/>
      <c r="F84" s="30"/>
      <c r="G84" s="30"/>
    </row>
    <row r="85" spans="1:7" x14ac:dyDescent="0.2">
      <c r="A85" s="30"/>
      <c r="C85" s="30"/>
      <c r="D85" s="30"/>
      <c r="E85" s="30"/>
      <c r="F85" s="30"/>
      <c r="G85" s="30"/>
    </row>
    <row r="86" spans="1:7" x14ac:dyDescent="0.2">
      <c r="A86" s="30"/>
      <c r="C86" s="30"/>
      <c r="D86" s="30"/>
      <c r="E86" s="30"/>
      <c r="F86" s="30"/>
      <c r="G86" s="30"/>
    </row>
    <row r="87" spans="1:7" x14ac:dyDescent="0.2">
      <c r="A87" s="30"/>
      <c r="C87" s="30"/>
      <c r="D87" s="30"/>
      <c r="E87" s="30"/>
      <c r="F87" s="30"/>
      <c r="G87" s="30"/>
    </row>
    <row r="88" spans="1:7" x14ac:dyDescent="0.2">
      <c r="A88" s="30"/>
      <c r="C88" s="30"/>
      <c r="D88" s="30"/>
      <c r="E88" s="30"/>
      <c r="F88" s="30"/>
      <c r="G88" s="30"/>
    </row>
    <row r="89" spans="1:7" x14ac:dyDescent="0.2">
      <c r="A89" s="30"/>
      <c r="C89" s="30"/>
      <c r="D89" s="30"/>
      <c r="E89" s="30"/>
      <c r="F89" s="30"/>
      <c r="G89" s="30"/>
    </row>
    <row r="90" spans="1:7" x14ac:dyDescent="0.2">
      <c r="A90" s="30"/>
      <c r="C90" s="30"/>
      <c r="D90" s="30"/>
      <c r="E90" s="30"/>
      <c r="F90" s="30"/>
      <c r="G90" s="30"/>
    </row>
    <row r="91" spans="1:7" x14ac:dyDescent="0.2">
      <c r="A91" s="30"/>
      <c r="C91" s="30"/>
      <c r="D91" s="30"/>
      <c r="E91" s="30"/>
      <c r="F91" s="30"/>
      <c r="G91" s="30"/>
    </row>
    <row r="92" spans="1:7" x14ac:dyDescent="0.2">
      <c r="A92" s="30"/>
      <c r="C92" s="30"/>
      <c r="D92" s="30"/>
      <c r="E92" s="30"/>
      <c r="F92" s="30"/>
      <c r="G92" s="30"/>
    </row>
    <row r="93" spans="1:7" x14ac:dyDescent="0.2">
      <c r="A93" s="30"/>
      <c r="C93" s="30"/>
      <c r="D93" s="30"/>
      <c r="E93" s="30"/>
      <c r="F93" s="30"/>
      <c r="G93" s="30"/>
    </row>
    <row r="94" spans="1:7" x14ac:dyDescent="0.2">
      <c r="A94" s="30"/>
      <c r="C94" s="30"/>
      <c r="D94" s="30"/>
      <c r="E94" s="30"/>
      <c r="F94" s="30"/>
      <c r="G94" s="30"/>
    </row>
    <row r="95" spans="1:7" x14ac:dyDescent="0.2">
      <c r="A95" s="30"/>
      <c r="C95" s="30"/>
      <c r="D95" s="30"/>
      <c r="E95" s="30"/>
      <c r="F95" s="30"/>
      <c r="G95" s="30"/>
    </row>
    <row r="96" spans="1:7" x14ac:dyDescent="0.2">
      <c r="A96" s="30"/>
      <c r="C96" s="30"/>
      <c r="D96" s="30"/>
      <c r="E96" s="30"/>
      <c r="F96" s="30"/>
      <c r="G96" s="30"/>
    </row>
    <row r="97" spans="1:7" x14ac:dyDescent="0.2">
      <c r="A97" s="30"/>
      <c r="C97" s="30"/>
      <c r="D97" s="30"/>
      <c r="E97" s="30"/>
      <c r="F97" s="30"/>
      <c r="G97" s="30"/>
    </row>
    <row r="98" spans="1:7" x14ac:dyDescent="0.2">
      <c r="A98" s="30"/>
      <c r="C98" s="30"/>
      <c r="D98" s="30"/>
      <c r="E98" s="30"/>
      <c r="F98" s="30"/>
      <c r="G98" s="30"/>
    </row>
    <row r="99" spans="1:7" x14ac:dyDescent="0.2">
      <c r="A99" s="30"/>
      <c r="C99" s="30"/>
      <c r="D99" s="30"/>
      <c r="E99" s="30"/>
      <c r="F99" s="30"/>
      <c r="G99" s="30"/>
    </row>
    <row r="100" spans="1:7" x14ac:dyDescent="0.2">
      <c r="A100" s="30"/>
      <c r="C100" s="30"/>
      <c r="D100" s="30"/>
      <c r="E100" s="30"/>
      <c r="F100" s="30"/>
      <c r="G100" s="30"/>
    </row>
    <row r="101" spans="1:7" x14ac:dyDescent="0.2">
      <c r="A101" s="30"/>
      <c r="C101" s="30"/>
      <c r="D101" s="30"/>
      <c r="E101" s="30"/>
      <c r="F101" s="30"/>
      <c r="G101" s="30"/>
    </row>
    <row r="102" spans="1:7" x14ac:dyDescent="0.2">
      <c r="A102" s="30"/>
      <c r="C102" s="30"/>
      <c r="D102" s="30"/>
      <c r="E102" s="30"/>
      <c r="F102" s="30"/>
      <c r="G102" s="30"/>
    </row>
    <row r="103" spans="1:7" x14ac:dyDescent="0.2">
      <c r="A103" s="30"/>
      <c r="C103" s="30"/>
      <c r="D103" s="30"/>
      <c r="E103" s="30"/>
      <c r="F103" s="30"/>
      <c r="G103" s="30"/>
    </row>
    <row r="104" spans="1:7" x14ac:dyDescent="0.2">
      <c r="A104" s="30"/>
      <c r="C104" s="30"/>
      <c r="D104" s="30"/>
      <c r="E104" s="30"/>
      <c r="F104" s="30"/>
      <c r="G104" s="30"/>
    </row>
    <row r="105" spans="1:7" x14ac:dyDescent="0.2">
      <c r="A105" s="30"/>
      <c r="C105" s="30"/>
      <c r="D105" s="30"/>
      <c r="E105" s="30"/>
      <c r="F105" s="30"/>
      <c r="G105" s="30"/>
    </row>
    <row r="106" spans="1:7" x14ac:dyDescent="0.2">
      <c r="A106" s="30"/>
      <c r="C106" s="30"/>
      <c r="D106" s="30"/>
      <c r="E106" s="30"/>
      <c r="F106" s="30"/>
      <c r="G106" s="30"/>
    </row>
    <row r="107" spans="1:7" x14ac:dyDescent="0.2">
      <c r="A107" s="30"/>
      <c r="C107" s="30"/>
      <c r="D107" s="30"/>
      <c r="E107" s="30"/>
      <c r="F107" s="30"/>
      <c r="G107" s="30"/>
    </row>
    <row r="108" spans="1:7" x14ac:dyDescent="0.2">
      <c r="A108" s="30"/>
      <c r="C108" s="30"/>
      <c r="D108" s="30"/>
      <c r="E108" s="30"/>
      <c r="F108" s="30"/>
      <c r="G108" s="30"/>
    </row>
    <row r="109" spans="1:7" x14ac:dyDescent="0.2">
      <c r="A109" s="30"/>
      <c r="C109" s="30"/>
      <c r="D109" s="30"/>
      <c r="E109" s="30"/>
      <c r="F109" s="30"/>
      <c r="G109" s="30"/>
    </row>
    <row r="110" spans="1:7" x14ac:dyDescent="0.2">
      <c r="A110" s="30"/>
      <c r="C110" s="30"/>
      <c r="D110" s="30"/>
      <c r="E110" s="30"/>
      <c r="F110" s="30"/>
      <c r="G110" s="30"/>
    </row>
    <row r="111" spans="1:7" x14ac:dyDescent="0.2">
      <c r="A111" s="30"/>
      <c r="C111" s="30"/>
      <c r="D111" s="30"/>
      <c r="E111" s="30"/>
      <c r="F111" s="30"/>
      <c r="G111" s="30"/>
    </row>
    <row r="112" spans="1:7" x14ac:dyDescent="0.2">
      <c r="A112" s="30"/>
      <c r="C112" s="30"/>
      <c r="D112" s="30"/>
      <c r="E112" s="30"/>
      <c r="F112" s="30"/>
      <c r="G112" s="30"/>
    </row>
    <row r="113" spans="1:7" x14ac:dyDescent="0.2">
      <c r="A113" s="30"/>
      <c r="C113" s="30"/>
      <c r="D113" s="30"/>
      <c r="E113" s="30"/>
      <c r="F113" s="30"/>
      <c r="G113" s="30"/>
    </row>
    <row r="114" spans="1:7" x14ac:dyDescent="0.2">
      <c r="A114" s="30"/>
      <c r="C114" s="30"/>
      <c r="D114" s="30"/>
      <c r="E114" s="30"/>
      <c r="F114" s="30"/>
      <c r="G114" s="30"/>
    </row>
    <row r="115" spans="1:7" x14ac:dyDescent="0.2">
      <c r="A115" s="30"/>
      <c r="C115" s="30"/>
      <c r="D115" s="30"/>
      <c r="E115" s="30"/>
      <c r="F115" s="30"/>
      <c r="G115" s="30"/>
    </row>
    <row r="116" spans="1:7" x14ac:dyDescent="0.2">
      <c r="A116" s="30"/>
      <c r="C116" s="30"/>
      <c r="D116" s="30"/>
      <c r="E116" s="30"/>
      <c r="F116" s="30"/>
      <c r="G116" s="30"/>
    </row>
    <row r="117" spans="1:7" x14ac:dyDescent="0.2">
      <c r="A117" s="30"/>
      <c r="C117" s="30"/>
      <c r="D117" s="30"/>
      <c r="E117" s="30"/>
      <c r="F117" s="30"/>
      <c r="G117" s="30"/>
    </row>
    <row r="118" spans="1:7" x14ac:dyDescent="0.2">
      <c r="A118" s="30"/>
      <c r="C118" s="30"/>
      <c r="D118" s="30"/>
      <c r="E118" s="30"/>
      <c r="F118" s="30"/>
      <c r="G118" s="30"/>
    </row>
    <row r="119" spans="1:7" x14ac:dyDescent="0.2">
      <c r="A119" s="30"/>
      <c r="C119" s="30"/>
      <c r="D119" s="30"/>
      <c r="E119" s="30"/>
      <c r="F119" s="30"/>
      <c r="G119" s="30"/>
    </row>
    <row r="120" spans="1:7" x14ac:dyDescent="0.2">
      <c r="A120" s="30"/>
      <c r="C120" s="30"/>
      <c r="D120" s="30"/>
      <c r="E120" s="30"/>
      <c r="F120" s="30"/>
      <c r="G120" s="30"/>
    </row>
    <row r="121" spans="1:7" x14ac:dyDescent="0.2">
      <c r="A121" s="30"/>
      <c r="C121" s="30"/>
      <c r="D121" s="30"/>
      <c r="E121" s="30"/>
      <c r="F121" s="30"/>
      <c r="G121" s="30"/>
    </row>
    <row r="122" spans="1:7" x14ac:dyDescent="0.2">
      <c r="A122" s="30"/>
      <c r="C122" s="30"/>
      <c r="D122" s="30"/>
      <c r="E122" s="30"/>
      <c r="F122" s="30"/>
      <c r="G122" s="30"/>
    </row>
    <row r="123" spans="1:7" x14ac:dyDescent="0.2">
      <c r="A123" s="30"/>
      <c r="C123" s="30"/>
      <c r="D123" s="30"/>
      <c r="E123" s="30"/>
      <c r="F123" s="30"/>
      <c r="G123" s="30"/>
    </row>
    <row r="124" spans="1:7" x14ac:dyDescent="0.2">
      <c r="A124" s="30"/>
      <c r="C124" s="30"/>
      <c r="D124" s="30"/>
      <c r="E124" s="30"/>
      <c r="F124" s="30"/>
      <c r="G124" s="30"/>
    </row>
    <row r="125" spans="1:7" x14ac:dyDescent="0.2">
      <c r="A125" s="30"/>
      <c r="C125" s="30"/>
      <c r="D125" s="30"/>
      <c r="E125" s="30"/>
      <c r="F125" s="30"/>
      <c r="G125" s="30"/>
    </row>
  </sheetData>
  <mergeCells count="2">
    <mergeCell ref="A2:B2"/>
    <mergeCell ref="B52:D52"/>
  </mergeCells>
  <printOptions horizontalCentered="1" gridLines="1"/>
  <pageMargins left="0.25" right="0.25" top="0.73" bottom="0.25" header="0.65" footer="0.3"/>
  <pageSetup scale="90" orientation="portrait" r:id="rId1"/>
  <headerFooter alignWithMargins="0">
    <oddFooter>&amp;R3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9"/>
  <sheetViews>
    <sheetView zoomScale="120" zoomScaleNormal="120" workbookViewId="0">
      <selection activeCell="F81" sqref="F81"/>
    </sheetView>
  </sheetViews>
  <sheetFormatPr defaultRowHeight="12.75" x14ac:dyDescent="0.2"/>
  <cols>
    <col min="1" max="1" width="2.42578125" customWidth="1"/>
    <col min="2" max="2" width="40.7109375" customWidth="1"/>
    <col min="3" max="6" width="12.85546875" bestFit="1" customWidth="1"/>
    <col min="7" max="7" width="13.5703125" bestFit="1" customWidth="1"/>
  </cols>
  <sheetData>
    <row r="1" spans="1:7" ht="13.5" thickBot="1" x14ac:dyDescent="0.25">
      <c r="A1" s="59"/>
      <c r="B1" s="60"/>
      <c r="C1" s="60"/>
      <c r="D1" s="60"/>
      <c r="E1" s="60"/>
      <c r="F1" s="60"/>
    </row>
    <row r="2" spans="1:7" ht="73.150000000000006" customHeight="1" thickBot="1" x14ac:dyDescent="0.3">
      <c r="A2" s="296" t="s">
        <v>119</v>
      </c>
      <c r="B2" s="297"/>
      <c r="C2" s="33" t="s">
        <v>207</v>
      </c>
      <c r="D2" s="33" t="s">
        <v>212</v>
      </c>
      <c r="E2" s="33" t="s">
        <v>213</v>
      </c>
      <c r="F2" s="94" t="s">
        <v>210</v>
      </c>
      <c r="G2" s="95" t="s">
        <v>211</v>
      </c>
    </row>
    <row r="3" spans="1:7" x14ac:dyDescent="0.2">
      <c r="A3" s="53" t="s">
        <v>33</v>
      </c>
      <c r="B3" s="54"/>
      <c r="C3" s="39"/>
      <c r="D3" s="39"/>
      <c r="E3" s="39"/>
      <c r="F3" s="66"/>
      <c r="G3" s="71"/>
    </row>
    <row r="4" spans="1:7" x14ac:dyDescent="0.2">
      <c r="A4" s="50"/>
      <c r="B4" s="40" t="s">
        <v>68</v>
      </c>
      <c r="C4" s="96">
        <v>5387</v>
      </c>
      <c r="D4" s="79">
        <v>5387</v>
      </c>
      <c r="E4" s="84">
        <v>10000</v>
      </c>
      <c r="F4" s="84">
        <v>5500</v>
      </c>
      <c r="G4" s="85">
        <f>F4-E4</f>
        <v>-4500</v>
      </c>
    </row>
    <row r="5" spans="1:7" x14ac:dyDescent="0.2">
      <c r="A5" s="50"/>
      <c r="B5" s="40" t="s">
        <v>69</v>
      </c>
      <c r="C5" s="96">
        <v>680</v>
      </c>
      <c r="D5" s="79">
        <v>680</v>
      </c>
      <c r="E5" s="84">
        <v>600</v>
      </c>
      <c r="F5" s="84">
        <v>700</v>
      </c>
      <c r="G5" s="85">
        <f t="shared" ref="G5:G17" si="0">F5-E5</f>
        <v>100</v>
      </c>
    </row>
    <row r="6" spans="1:7" x14ac:dyDescent="0.2">
      <c r="A6" s="50"/>
      <c r="B6" s="40" t="s">
        <v>70</v>
      </c>
      <c r="C6" s="96">
        <v>2153</v>
      </c>
      <c r="D6" s="79">
        <v>28000</v>
      </c>
      <c r="E6" s="84">
        <v>28000</v>
      </c>
      <c r="F6" s="84">
        <v>28000</v>
      </c>
      <c r="G6" s="85">
        <f t="shared" si="0"/>
        <v>0</v>
      </c>
    </row>
    <row r="7" spans="1:7" x14ac:dyDescent="0.2">
      <c r="A7" s="50"/>
      <c r="B7" s="40" t="s">
        <v>71</v>
      </c>
      <c r="C7" s="96">
        <v>170</v>
      </c>
      <c r="D7" s="79">
        <v>500</v>
      </c>
      <c r="E7" s="84">
        <v>10000</v>
      </c>
      <c r="F7" s="84">
        <v>5000</v>
      </c>
      <c r="G7" s="85">
        <f t="shared" si="0"/>
        <v>-5000</v>
      </c>
    </row>
    <row r="8" spans="1:7" x14ac:dyDescent="0.2">
      <c r="A8" s="50"/>
      <c r="B8" s="40" t="s">
        <v>72</v>
      </c>
      <c r="C8" s="96">
        <v>1088</v>
      </c>
      <c r="D8" s="79">
        <v>1300</v>
      </c>
      <c r="E8" s="84">
        <v>1100</v>
      </c>
      <c r="F8" s="84">
        <v>1100</v>
      </c>
      <c r="G8" s="85">
        <f t="shared" si="0"/>
        <v>0</v>
      </c>
    </row>
    <row r="9" spans="1:7" x14ac:dyDescent="0.2">
      <c r="A9" s="50"/>
      <c r="B9" s="40" t="s">
        <v>73</v>
      </c>
      <c r="C9" s="96">
        <v>21447</v>
      </c>
      <c r="D9" s="79">
        <v>21447</v>
      </c>
      <c r="E9" s="84">
        <v>31000</v>
      </c>
      <c r="F9" s="84">
        <v>31000</v>
      </c>
      <c r="G9" s="85">
        <f t="shared" si="0"/>
        <v>0</v>
      </c>
    </row>
    <row r="10" spans="1:7" x14ac:dyDescent="0.2">
      <c r="A10" s="50"/>
      <c r="B10" s="40" t="s">
        <v>74</v>
      </c>
      <c r="C10" s="96">
        <v>4443</v>
      </c>
      <c r="D10" s="79">
        <v>5400</v>
      </c>
      <c r="E10" s="84">
        <v>7500</v>
      </c>
      <c r="F10" s="84">
        <v>7500</v>
      </c>
      <c r="G10" s="85">
        <f t="shared" si="0"/>
        <v>0</v>
      </c>
    </row>
    <row r="11" spans="1:7" x14ac:dyDescent="0.2">
      <c r="A11" s="50"/>
      <c r="B11" s="40" t="s">
        <v>75</v>
      </c>
      <c r="C11" s="96">
        <v>128413</v>
      </c>
      <c r="D11" s="79">
        <v>150000</v>
      </c>
      <c r="E11" s="84">
        <v>150000</v>
      </c>
      <c r="F11" s="84">
        <v>150000</v>
      </c>
      <c r="G11" s="85">
        <f t="shared" si="0"/>
        <v>0</v>
      </c>
    </row>
    <row r="12" spans="1:7" x14ac:dyDescent="0.2">
      <c r="A12" s="50"/>
      <c r="B12" s="40" t="s">
        <v>76</v>
      </c>
      <c r="C12" s="96">
        <v>663</v>
      </c>
      <c r="D12" s="79">
        <v>700</v>
      </c>
      <c r="E12" s="84">
        <v>1000</v>
      </c>
      <c r="F12" s="84">
        <v>1000</v>
      </c>
      <c r="G12" s="85">
        <f t="shared" si="0"/>
        <v>0</v>
      </c>
    </row>
    <row r="13" spans="1:7" x14ac:dyDescent="0.2">
      <c r="A13" s="50"/>
      <c r="B13" s="40" t="s">
        <v>77</v>
      </c>
      <c r="C13" s="96">
        <v>72832</v>
      </c>
      <c r="D13" s="79">
        <v>80000</v>
      </c>
      <c r="E13" s="84">
        <v>75000</v>
      </c>
      <c r="F13" s="84">
        <v>80000</v>
      </c>
      <c r="G13" s="85">
        <f t="shared" si="0"/>
        <v>5000</v>
      </c>
    </row>
    <row r="14" spans="1:7" x14ac:dyDescent="0.2">
      <c r="A14" s="50"/>
      <c r="B14" s="40" t="s">
        <v>78</v>
      </c>
      <c r="C14" s="96">
        <v>35637</v>
      </c>
      <c r="D14" s="79">
        <v>39000</v>
      </c>
      <c r="E14" s="84">
        <v>45000</v>
      </c>
      <c r="F14" s="84">
        <v>45000</v>
      </c>
      <c r="G14" s="85">
        <f t="shared" si="0"/>
        <v>0</v>
      </c>
    </row>
    <row r="15" spans="1:7" x14ac:dyDescent="0.2">
      <c r="A15" s="55"/>
      <c r="B15" s="56" t="s">
        <v>79</v>
      </c>
      <c r="C15" s="96">
        <v>0</v>
      </c>
      <c r="D15" s="80">
        <v>0</v>
      </c>
      <c r="E15" s="84">
        <f t="shared" ref="E15:F15" si="1">C15-D15</f>
        <v>0</v>
      </c>
      <c r="F15" s="84">
        <f t="shared" si="1"/>
        <v>0</v>
      </c>
      <c r="G15" s="85">
        <f t="shared" si="0"/>
        <v>0</v>
      </c>
    </row>
    <row r="16" spans="1:7" x14ac:dyDescent="0.2">
      <c r="A16" s="55"/>
      <c r="B16" s="56" t="s">
        <v>80</v>
      </c>
      <c r="C16" s="79">
        <v>0</v>
      </c>
      <c r="D16" s="80">
        <v>0</v>
      </c>
      <c r="E16" s="84">
        <v>35000</v>
      </c>
      <c r="F16" s="84">
        <v>0</v>
      </c>
      <c r="G16" s="85">
        <f t="shared" si="0"/>
        <v>-35000</v>
      </c>
    </row>
    <row r="17" spans="1:7" x14ac:dyDescent="0.2">
      <c r="A17" s="55"/>
      <c r="B17" s="56" t="s">
        <v>138</v>
      </c>
      <c r="C17" s="80">
        <v>17951</v>
      </c>
      <c r="D17" s="80">
        <v>20000</v>
      </c>
      <c r="E17" s="115">
        <v>45000</v>
      </c>
      <c r="F17" s="115">
        <v>45000</v>
      </c>
      <c r="G17" s="85">
        <f t="shared" si="0"/>
        <v>0</v>
      </c>
    </row>
    <row r="18" spans="1:7" ht="13.5" thickBot="1" x14ac:dyDescent="0.25">
      <c r="A18" s="51"/>
      <c r="B18" s="52" t="s">
        <v>8</v>
      </c>
      <c r="C18" s="81">
        <f>SUM(C4:C17)</f>
        <v>290864</v>
      </c>
      <c r="D18" s="81">
        <f>SUM(D4:D17)</f>
        <v>352414</v>
      </c>
      <c r="E18" s="81">
        <f>SUM(E4:E17)</f>
        <v>439200</v>
      </c>
      <c r="F18" s="88">
        <f>SUM(F4:F17)</f>
        <v>399800</v>
      </c>
      <c r="G18" s="89">
        <f>SUM(G4:G17)</f>
        <v>-39400</v>
      </c>
    </row>
    <row r="19" spans="1:7" x14ac:dyDescent="0.2">
      <c r="A19" s="53" t="s">
        <v>21</v>
      </c>
      <c r="B19" s="54"/>
      <c r="C19" s="39"/>
      <c r="D19" s="39"/>
      <c r="E19" s="39"/>
      <c r="F19" s="66"/>
      <c r="G19" s="72"/>
    </row>
    <row r="20" spans="1:7" x14ac:dyDescent="0.2">
      <c r="A20" s="50"/>
      <c r="B20" s="40" t="s">
        <v>81</v>
      </c>
      <c r="C20" s="79">
        <v>0</v>
      </c>
      <c r="D20" s="79">
        <v>0</v>
      </c>
      <c r="E20" s="84">
        <f>C20-D20</f>
        <v>0</v>
      </c>
      <c r="F20" s="84">
        <f>D20-E20</f>
        <v>0</v>
      </c>
      <c r="G20" s="85">
        <f t="shared" ref="G20:G22" si="2">F20-E20</f>
        <v>0</v>
      </c>
    </row>
    <row r="21" spans="1:7" x14ac:dyDescent="0.2">
      <c r="A21" s="50"/>
      <c r="B21" s="40" t="s">
        <v>82</v>
      </c>
      <c r="C21" s="79">
        <v>0</v>
      </c>
      <c r="D21" s="79">
        <v>5300</v>
      </c>
      <c r="E21" s="84">
        <v>6000</v>
      </c>
      <c r="F21" s="84">
        <v>6000</v>
      </c>
      <c r="G21" s="85">
        <f t="shared" si="2"/>
        <v>0</v>
      </c>
    </row>
    <row r="22" spans="1:7" x14ac:dyDescent="0.2">
      <c r="A22" s="50"/>
      <c r="B22" s="40" t="s">
        <v>83</v>
      </c>
      <c r="C22" s="79">
        <v>6246</v>
      </c>
      <c r="D22" s="79">
        <v>8500</v>
      </c>
      <c r="E22" s="84">
        <v>15000</v>
      </c>
      <c r="F22" s="84">
        <v>15000</v>
      </c>
      <c r="G22" s="85">
        <f t="shared" si="2"/>
        <v>0</v>
      </c>
    </row>
    <row r="23" spans="1:7" ht="13.5" thickBot="1" x14ac:dyDescent="0.25">
      <c r="A23" s="51"/>
      <c r="B23" s="52" t="s">
        <v>8</v>
      </c>
      <c r="C23" s="81">
        <f>SUM(C19:C22)</f>
        <v>6246</v>
      </c>
      <c r="D23" s="81">
        <f>SUM(D20:D22)</f>
        <v>13800</v>
      </c>
      <c r="E23" s="81">
        <f>SUM(E19:E22)</f>
        <v>21000</v>
      </c>
      <c r="F23" s="88">
        <f>SUM(F19:F22)</f>
        <v>21000</v>
      </c>
      <c r="G23" s="89">
        <f>SUM(G20:G22)</f>
        <v>0</v>
      </c>
    </row>
    <row r="24" spans="1:7" x14ac:dyDescent="0.2">
      <c r="A24" s="53" t="s">
        <v>22</v>
      </c>
      <c r="B24" s="54"/>
      <c r="C24" s="39"/>
      <c r="D24" s="39"/>
      <c r="E24" s="39"/>
      <c r="F24" s="66"/>
      <c r="G24" s="72"/>
    </row>
    <row r="25" spans="1:7" x14ac:dyDescent="0.2">
      <c r="A25" s="50"/>
      <c r="B25" s="40" t="s">
        <v>84</v>
      </c>
      <c r="C25" s="96">
        <v>44925</v>
      </c>
      <c r="D25" s="79">
        <v>60000</v>
      </c>
      <c r="E25" s="86">
        <v>80000</v>
      </c>
      <c r="F25" s="86">
        <v>80000</v>
      </c>
      <c r="G25" s="85">
        <f t="shared" ref="G25:G27" si="3">F25-E25</f>
        <v>0</v>
      </c>
    </row>
    <row r="26" spans="1:7" hidden="1" x14ac:dyDescent="0.2">
      <c r="A26" s="50"/>
      <c r="B26" s="40" t="s">
        <v>85</v>
      </c>
      <c r="C26" s="96">
        <v>0</v>
      </c>
      <c r="D26" s="79">
        <v>0</v>
      </c>
      <c r="E26" s="86">
        <f t="shared" ref="E26:F26" si="4">C26-D26</f>
        <v>0</v>
      </c>
      <c r="F26" s="86">
        <f t="shared" si="4"/>
        <v>0</v>
      </c>
      <c r="G26" s="85">
        <f t="shared" si="3"/>
        <v>0</v>
      </c>
    </row>
    <row r="27" spans="1:7" x14ac:dyDescent="0.2">
      <c r="A27" s="50"/>
      <c r="B27" s="40" t="s">
        <v>86</v>
      </c>
      <c r="C27" s="97">
        <v>22950</v>
      </c>
      <c r="D27" s="79">
        <v>100000</v>
      </c>
      <c r="E27" s="86">
        <v>120000</v>
      </c>
      <c r="F27" s="86">
        <v>120000</v>
      </c>
      <c r="G27" s="85">
        <f t="shared" si="3"/>
        <v>0</v>
      </c>
    </row>
    <row r="28" spans="1:7" ht="13.5" thickBot="1" x14ac:dyDescent="0.25">
      <c r="A28" s="51"/>
      <c r="B28" s="52" t="s">
        <v>8</v>
      </c>
      <c r="C28" s="81">
        <f>SUM(C24:C27)</f>
        <v>67875</v>
      </c>
      <c r="D28" s="81">
        <f>SUM(D25:D27)</f>
        <v>160000</v>
      </c>
      <c r="E28" s="81">
        <f>SUM(E24:E27)</f>
        <v>200000</v>
      </c>
      <c r="F28" s="88">
        <f>SUM(F24:F27)</f>
        <v>200000</v>
      </c>
      <c r="G28" s="89">
        <f>SUM(G25:G27)</f>
        <v>0</v>
      </c>
    </row>
    <row r="29" spans="1:7" x14ac:dyDescent="0.2">
      <c r="A29" s="53" t="s">
        <v>23</v>
      </c>
      <c r="B29" s="54"/>
      <c r="C29" s="39"/>
      <c r="D29" s="39"/>
      <c r="E29" s="39"/>
      <c r="F29" s="66"/>
      <c r="G29" s="73"/>
    </row>
    <row r="30" spans="1:7" x14ac:dyDescent="0.2">
      <c r="A30" s="50"/>
      <c r="B30" s="40" t="s">
        <v>87</v>
      </c>
      <c r="C30" s="96">
        <v>0</v>
      </c>
      <c r="D30" s="96">
        <v>0</v>
      </c>
      <c r="E30" s="96">
        <v>500</v>
      </c>
      <c r="F30" s="96">
        <v>500</v>
      </c>
      <c r="G30" s="85">
        <f t="shared" ref="G30:G34" si="5">F30-E30</f>
        <v>0</v>
      </c>
    </row>
    <row r="31" spans="1:7" x14ac:dyDescent="0.2">
      <c r="A31" s="50"/>
      <c r="B31" s="40" t="s">
        <v>88</v>
      </c>
      <c r="C31" s="96">
        <v>24375</v>
      </c>
      <c r="D31" s="96">
        <v>24375</v>
      </c>
      <c r="E31" s="96">
        <v>24375</v>
      </c>
      <c r="F31" s="96">
        <v>24375</v>
      </c>
      <c r="G31" s="85">
        <f t="shared" si="5"/>
        <v>0</v>
      </c>
    </row>
    <row r="32" spans="1:7" x14ac:dyDescent="0.2">
      <c r="A32" s="50"/>
      <c r="B32" s="40" t="s">
        <v>89</v>
      </c>
      <c r="C32" s="96">
        <v>7106</v>
      </c>
      <c r="D32" s="96">
        <v>7106</v>
      </c>
      <c r="E32" s="96">
        <v>5000</v>
      </c>
      <c r="F32" s="96">
        <v>5000</v>
      </c>
      <c r="G32" s="85">
        <f t="shared" si="5"/>
        <v>0</v>
      </c>
    </row>
    <row r="33" spans="1:7" x14ac:dyDescent="0.2">
      <c r="A33" s="50"/>
      <c r="B33" s="40" t="s">
        <v>90</v>
      </c>
      <c r="C33" s="96">
        <v>142528</v>
      </c>
      <c r="D33" s="96">
        <v>142528</v>
      </c>
      <c r="E33" s="101">
        <v>143000</v>
      </c>
      <c r="F33" s="101">
        <v>143000</v>
      </c>
      <c r="G33" s="85">
        <f t="shared" si="5"/>
        <v>0</v>
      </c>
    </row>
    <row r="34" spans="1:7" x14ac:dyDescent="0.2">
      <c r="A34" s="50"/>
      <c r="B34" s="40" t="s">
        <v>91</v>
      </c>
      <c r="C34" s="96">
        <v>76071</v>
      </c>
      <c r="D34" s="96">
        <v>76071</v>
      </c>
      <c r="E34" s="101">
        <v>90000</v>
      </c>
      <c r="F34" s="101">
        <v>90000</v>
      </c>
      <c r="G34" s="85">
        <f t="shared" si="5"/>
        <v>0</v>
      </c>
    </row>
    <row r="35" spans="1:7" ht="13.5" thickBot="1" x14ac:dyDescent="0.25">
      <c r="A35" s="51"/>
      <c r="B35" s="52" t="s">
        <v>8</v>
      </c>
      <c r="C35" s="82">
        <f>SUM(C29:C34)</f>
        <v>250080</v>
      </c>
      <c r="D35" s="81">
        <f>SUM(D30:D34)</f>
        <v>250080</v>
      </c>
      <c r="E35" s="81">
        <f>SUM(E29:E34)</f>
        <v>262875</v>
      </c>
      <c r="F35" s="88">
        <f>SUM(F29:F34)</f>
        <v>262875</v>
      </c>
      <c r="G35" s="90">
        <f>SUM(G30:G34)</f>
        <v>0</v>
      </c>
    </row>
    <row r="36" spans="1:7" x14ac:dyDescent="0.2">
      <c r="A36" s="53" t="s">
        <v>24</v>
      </c>
      <c r="B36" s="54"/>
      <c r="C36" s="39"/>
      <c r="D36" s="39"/>
      <c r="E36" s="39"/>
      <c r="F36" s="66"/>
      <c r="G36" s="72"/>
    </row>
    <row r="37" spans="1:7" x14ac:dyDescent="0.2">
      <c r="A37" s="50"/>
      <c r="B37" s="40" t="s">
        <v>92</v>
      </c>
      <c r="C37" s="96">
        <v>230318</v>
      </c>
      <c r="D37" s="101">
        <v>231000</v>
      </c>
      <c r="E37" s="101">
        <v>231000</v>
      </c>
      <c r="F37" s="101">
        <v>240000</v>
      </c>
      <c r="G37" s="85">
        <f t="shared" ref="G37:G39" si="6">F37-E37</f>
        <v>9000</v>
      </c>
    </row>
    <row r="38" spans="1:7" x14ac:dyDescent="0.2">
      <c r="A38" s="50"/>
      <c r="B38" s="40" t="s">
        <v>93</v>
      </c>
      <c r="C38" s="96">
        <v>876</v>
      </c>
      <c r="D38" s="96">
        <v>876</v>
      </c>
      <c r="E38" s="101">
        <v>900</v>
      </c>
      <c r="F38" s="101">
        <v>900</v>
      </c>
      <c r="G38" s="85">
        <f t="shared" si="6"/>
        <v>0</v>
      </c>
    </row>
    <row r="39" spans="1:7" x14ac:dyDescent="0.2">
      <c r="A39" s="50"/>
      <c r="B39" s="40" t="s">
        <v>94</v>
      </c>
      <c r="C39" s="96">
        <v>117326</v>
      </c>
      <c r="D39" s="96">
        <v>117326</v>
      </c>
      <c r="E39" s="101">
        <v>120000</v>
      </c>
      <c r="F39" s="101">
        <v>120000</v>
      </c>
      <c r="G39" s="85">
        <f t="shared" si="6"/>
        <v>0</v>
      </c>
    </row>
    <row r="40" spans="1:7" ht="13.5" thickBot="1" x14ac:dyDescent="0.25">
      <c r="A40" s="51"/>
      <c r="B40" s="52" t="s">
        <v>8</v>
      </c>
      <c r="C40" s="82">
        <f>SUM(C36:C39)</f>
        <v>348520</v>
      </c>
      <c r="D40" s="81">
        <f>SUM(D37:D39)</f>
        <v>349202</v>
      </c>
      <c r="E40" s="81">
        <f>SUM(E36:E39)</f>
        <v>351900</v>
      </c>
      <c r="F40" s="88">
        <f>SUM(F36:F39)</f>
        <v>360900</v>
      </c>
      <c r="G40" s="89">
        <f>SUM(G37:G39)</f>
        <v>9000</v>
      </c>
    </row>
    <row r="41" spans="1:7" x14ac:dyDescent="0.2">
      <c r="A41" s="53" t="s">
        <v>25</v>
      </c>
      <c r="B41" s="54"/>
      <c r="C41" s="39"/>
      <c r="D41" s="39"/>
      <c r="E41" s="39"/>
      <c r="F41" s="66"/>
      <c r="G41" s="72"/>
    </row>
    <row r="42" spans="1:7" x14ac:dyDescent="0.2">
      <c r="A42" s="50"/>
      <c r="B42" s="40" t="s">
        <v>95</v>
      </c>
      <c r="C42" s="96">
        <v>330848</v>
      </c>
      <c r="D42" s="101">
        <v>400000</v>
      </c>
      <c r="E42" s="101">
        <v>300000</v>
      </c>
      <c r="F42" s="101">
        <v>200000</v>
      </c>
      <c r="G42" s="85">
        <f t="shared" ref="G42:G45" si="7">F42-E42</f>
        <v>-100000</v>
      </c>
    </row>
    <row r="43" spans="1:7" x14ac:dyDescent="0.2">
      <c r="A43" s="50"/>
      <c r="B43" s="40" t="s">
        <v>96</v>
      </c>
      <c r="C43" s="96">
        <v>135000</v>
      </c>
      <c r="D43" s="101">
        <v>135000</v>
      </c>
      <c r="E43" s="101">
        <v>180000</v>
      </c>
      <c r="F43" s="101">
        <v>100000</v>
      </c>
      <c r="G43" s="85">
        <f t="shared" si="7"/>
        <v>-80000</v>
      </c>
    </row>
    <row r="44" spans="1:7" x14ac:dyDescent="0.2">
      <c r="A44" s="55"/>
      <c r="B44" s="56" t="s">
        <v>137</v>
      </c>
      <c r="C44" s="96">
        <v>0</v>
      </c>
      <c r="D44" s="101">
        <v>0</v>
      </c>
      <c r="E44" s="101">
        <v>80000</v>
      </c>
      <c r="F44" s="101">
        <v>0</v>
      </c>
      <c r="G44" s="85"/>
    </row>
    <row r="45" spans="1:7" x14ac:dyDescent="0.2">
      <c r="A45" s="55"/>
      <c r="B45" s="56" t="s">
        <v>97</v>
      </c>
      <c r="C45" s="96">
        <v>33333</v>
      </c>
      <c r="D45" s="96">
        <v>40000</v>
      </c>
      <c r="E45" s="101">
        <v>40000</v>
      </c>
      <c r="F45" s="101">
        <v>40000</v>
      </c>
      <c r="G45" s="85">
        <f t="shared" si="7"/>
        <v>0</v>
      </c>
    </row>
    <row r="46" spans="1:7" ht="13.5" thickBot="1" x14ac:dyDescent="0.25">
      <c r="A46" s="51"/>
      <c r="B46" s="52"/>
      <c r="C46" s="81">
        <f>SUM(C41:C45)</f>
        <v>499181</v>
      </c>
      <c r="D46" s="81">
        <f>SUM(D42:D45)</f>
        <v>575000</v>
      </c>
      <c r="E46" s="81">
        <f>SUM(E41:E45)</f>
        <v>600000</v>
      </c>
      <c r="F46" s="88">
        <f>SUM(F41:F45)</f>
        <v>340000</v>
      </c>
      <c r="G46" s="89">
        <f>SUM(G42:G45)</f>
        <v>-180000</v>
      </c>
    </row>
    <row r="47" spans="1:7" x14ac:dyDescent="0.2">
      <c r="A47" s="53" t="s">
        <v>26</v>
      </c>
      <c r="B47" s="54"/>
      <c r="C47" s="39"/>
      <c r="D47" s="39"/>
      <c r="E47" s="39"/>
      <c r="F47" s="66"/>
      <c r="G47" s="73"/>
    </row>
    <row r="48" spans="1:7" x14ac:dyDescent="0.2">
      <c r="A48" s="50"/>
      <c r="B48" s="40" t="s">
        <v>98</v>
      </c>
      <c r="C48" s="101">
        <v>269843</v>
      </c>
      <c r="D48" s="101">
        <v>331000</v>
      </c>
      <c r="E48" s="101">
        <v>340000</v>
      </c>
      <c r="F48" s="101">
        <v>351900</v>
      </c>
      <c r="G48" s="85">
        <f t="shared" ref="G48:G51" si="8">F48-E48</f>
        <v>11900</v>
      </c>
    </row>
    <row r="49" spans="1:7" x14ac:dyDescent="0.2">
      <c r="A49" s="50"/>
      <c r="B49" s="40" t="s">
        <v>99</v>
      </c>
      <c r="C49" s="96">
        <v>0</v>
      </c>
      <c r="D49" s="96">
        <v>0</v>
      </c>
      <c r="E49" s="101">
        <f t="shared" ref="E49:F49" si="9">C49-D49</f>
        <v>0</v>
      </c>
      <c r="F49" s="101">
        <f t="shared" si="9"/>
        <v>0</v>
      </c>
      <c r="G49" s="85">
        <f t="shared" si="8"/>
        <v>0</v>
      </c>
    </row>
    <row r="50" spans="1:7" x14ac:dyDescent="0.2">
      <c r="A50" s="50"/>
      <c r="B50" s="40" t="s">
        <v>136</v>
      </c>
      <c r="C50" s="101">
        <v>104522</v>
      </c>
      <c r="D50" s="101">
        <v>150000</v>
      </c>
      <c r="E50" s="101">
        <v>150000</v>
      </c>
      <c r="F50" s="101">
        <v>155250</v>
      </c>
      <c r="G50" s="85">
        <f t="shared" si="8"/>
        <v>5250</v>
      </c>
    </row>
    <row r="51" spans="1:7" x14ac:dyDescent="0.2">
      <c r="A51" s="50"/>
      <c r="B51" s="40" t="s">
        <v>100</v>
      </c>
      <c r="C51" s="101">
        <v>4549017</v>
      </c>
      <c r="D51" s="101">
        <v>5600000</v>
      </c>
      <c r="E51" s="101">
        <v>5600000</v>
      </c>
      <c r="F51" s="101">
        <v>5796000</v>
      </c>
      <c r="G51" s="85">
        <f t="shared" si="8"/>
        <v>196000</v>
      </c>
    </row>
    <row r="52" spans="1:7" ht="13.5" thickBot="1" x14ac:dyDescent="0.25">
      <c r="A52" s="51"/>
      <c r="B52" s="52" t="s">
        <v>8</v>
      </c>
      <c r="C52" s="81">
        <f>SUM(C47:C51)</f>
        <v>4923382</v>
      </c>
      <c r="D52" s="81">
        <f>SUM(D48:D51)</f>
        <v>6081000</v>
      </c>
      <c r="E52" s="81">
        <f>SUM(E47:E51)</f>
        <v>6090000</v>
      </c>
      <c r="F52" s="88">
        <f>SUM(F48:F51)</f>
        <v>6303150</v>
      </c>
      <c r="G52" s="89">
        <f>SUM(G48:G51)</f>
        <v>213150</v>
      </c>
    </row>
    <row r="53" spans="1:7" x14ac:dyDescent="0.2">
      <c r="A53" s="53" t="s">
        <v>27</v>
      </c>
      <c r="B53" s="54"/>
      <c r="C53" s="39"/>
      <c r="D53" s="39"/>
      <c r="E53" s="39"/>
      <c r="F53" s="66"/>
      <c r="G53" s="73"/>
    </row>
    <row r="54" spans="1:7" x14ac:dyDescent="0.2">
      <c r="A54" s="50"/>
      <c r="B54" s="40" t="s">
        <v>101</v>
      </c>
      <c r="C54" s="96">
        <v>9267</v>
      </c>
      <c r="D54" s="101">
        <v>10000</v>
      </c>
      <c r="E54" s="96">
        <v>15000</v>
      </c>
      <c r="F54" s="96">
        <v>15000</v>
      </c>
      <c r="G54" s="85">
        <f t="shared" ref="G54:G61" si="10">F54-E54</f>
        <v>0</v>
      </c>
    </row>
    <row r="55" spans="1:7" x14ac:dyDescent="0.2">
      <c r="A55" s="50"/>
      <c r="B55" s="40" t="s">
        <v>102</v>
      </c>
      <c r="C55" s="96">
        <v>0</v>
      </c>
      <c r="D55" s="96">
        <v>0</v>
      </c>
      <c r="E55" s="96">
        <f t="shared" ref="E55:F55" si="11">C55-D55</f>
        <v>0</v>
      </c>
      <c r="F55" s="96">
        <f t="shared" si="11"/>
        <v>0</v>
      </c>
      <c r="G55" s="85">
        <f t="shared" si="10"/>
        <v>0</v>
      </c>
    </row>
    <row r="56" spans="1:7" x14ac:dyDescent="0.2">
      <c r="A56" s="50"/>
      <c r="B56" s="40" t="s">
        <v>103</v>
      </c>
      <c r="C56" s="96">
        <v>0</v>
      </c>
      <c r="D56" s="96">
        <v>0</v>
      </c>
      <c r="E56" s="96">
        <v>0</v>
      </c>
      <c r="F56" s="96">
        <v>0</v>
      </c>
      <c r="G56" s="85">
        <f t="shared" si="10"/>
        <v>0</v>
      </c>
    </row>
    <row r="57" spans="1:7" x14ac:dyDescent="0.2">
      <c r="A57" s="50"/>
      <c r="B57" s="40" t="s">
        <v>104</v>
      </c>
      <c r="C57" s="101">
        <v>86316.2</v>
      </c>
      <c r="D57" s="96">
        <v>125000</v>
      </c>
      <c r="E57" s="96">
        <v>100000</v>
      </c>
      <c r="F57" s="96">
        <v>100000</v>
      </c>
      <c r="G57" s="85">
        <f t="shared" si="10"/>
        <v>0</v>
      </c>
    </row>
    <row r="58" spans="1:7" x14ac:dyDescent="0.2">
      <c r="A58" s="50"/>
      <c r="B58" s="40" t="s">
        <v>105</v>
      </c>
      <c r="C58" s="96">
        <v>15786</v>
      </c>
      <c r="D58" s="96">
        <v>20000</v>
      </c>
      <c r="E58" s="96">
        <v>30000</v>
      </c>
      <c r="F58" s="96">
        <v>30000</v>
      </c>
      <c r="G58" s="85">
        <f t="shared" si="10"/>
        <v>0</v>
      </c>
    </row>
    <row r="59" spans="1:7" x14ac:dyDescent="0.2">
      <c r="A59" s="50"/>
      <c r="B59" s="40" t="s">
        <v>106</v>
      </c>
      <c r="C59" s="96">
        <v>1933</v>
      </c>
      <c r="D59" s="101">
        <v>4500</v>
      </c>
      <c r="E59" s="96">
        <v>30000</v>
      </c>
      <c r="F59" s="96">
        <v>5000</v>
      </c>
      <c r="G59" s="85">
        <f t="shared" si="10"/>
        <v>-25000</v>
      </c>
    </row>
    <row r="60" spans="1:7" x14ac:dyDescent="0.2">
      <c r="A60" s="50"/>
      <c r="B60" s="40" t="s">
        <v>107</v>
      </c>
      <c r="C60" s="96">
        <v>17327</v>
      </c>
      <c r="D60" s="96">
        <v>20500</v>
      </c>
      <c r="E60" s="96">
        <v>35000</v>
      </c>
      <c r="F60" s="96">
        <v>35000</v>
      </c>
      <c r="G60" s="85">
        <f t="shared" si="10"/>
        <v>0</v>
      </c>
    </row>
    <row r="61" spans="1:7" x14ac:dyDescent="0.2">
      <c r="A61" s="50"/>
      <c r="B61" s="40" t="s">
        <v>108</v>
      </c>
      <c r="C61" s="101">
        <v>130375.01</v>
      </c>
      <c r="D61" s="101">
        <v>200000</v>
      </c>
      <c r="E61" s="101">
        <v>300000</v>
      </c>
      <c r="F61" s="101">
        <v>300000</v>
      </c>
      <c r="G61" s="85">
        <f t="shared" si="10"/>
        <v>0</v>
      </c>
    </row>
    <row r="62" spans="1:7" ht="13.5" thickBot="1" x14ac:dyDescent="0.25">
      <c r="A62" s="51"/>
      <c r="B62" s="52" t="s">
        <v>8</v>
      </c>
      <c r="C62" s="81">
        <f>SUM(C53:C61)</f>
        <v>261004.21</v>
      </c>
      <c r="D62" s="81">
        <f>SUM(D54:D61)</f>
        <v>380000</v>
      </c>
      <c r="E62" s="81">
        <f>SUM(E53:E61)</f>
        <v>510000</v>
      </c>
      <c r="F62" s="88">
        <f>SUM(F53:F61)</f>
        <v>485000</v>
      </c>
      <c r="G62" s="89">
        <f>SUM(G54:G61)</f>
        <v>-25000</v>
      </c>
    </row>
    <row r="63" spans="1:7" x14ac:dyDescent="0.2">
      <c r="A63" s="53" t="s">
        <v>28</v>
      </c>
      <c r="B63" s="54"/>
      <c r="C63" s="39"/>
      <c r="D63" s="39"/>
      <c r="E63" s="39"/>
      <c r="F63" s="66"/>
      <c r="G63" s="73"/>
    </row>
    <row r="64" spans="1:7" x14ac:dyDescent="0.2">
      <c r="A64" s="50"/>
      <c r="B64" s="40" t="s">
        <v>109</v>
      </c>
      <c r="C64" s="101">
        <v>408208</v>
      </c>
      <c r="D64" s="96">
        <v>450000</v>
      </c>
      <c r="E64" s="96">
        <v>300000</v>
      </c>
      <c r="F64" s="96">
        <v>300000</v>
      </c>
      <c r="G64" s="85">
        <f t="shared" ref="G64:G66" si="12">F64-E64</f>
        <v>0</v>
      </c>
    </row>
    <row r="65" spans="1:7" x14ac:dyDescent="0.2">
      <c r="A65" s="50"/>
      <c r="B65" s="40" t="s">
        <v>186</v>
      </c>
      <c r="C65" s="101">
        <v>14154</v>
      </c>
      <c r="D65" s="96">
        <v>17000</v>
      </c>
      <c r="E65" s="96">
        <v>25000</v>
      </c>
      <c r="F65" s="96">
        <v>25000</v>
      </c>
      <c r="G65" s="85">
        <f t="shared" si="12"/>
        <v>0</v>
      </c>
    </row>
    <row r="66" spans="1:7" x14ac:dyDescent="0.2">
      <c r="A66" s="50"/>
      <c r="B66" s="40" t="s">
        <v>110</v>
      </c>
      <c r="C66" s="101">
        <v>241617</v>
      </c>
      <c r="D66" s="96">
        <v>260000</v>
      </c>
      <c r="E66" s="96">
        <v>250000</v>
      </c>
      <c r="F66" s="96">
        <v>250000</v>
      </c>
      <c r="G66" s="85">
        <f t="shared" si="12"/>
        <v>0</v>
      </c>
    </row>
    <row r="67" spans="1:7" ht="13.5" thickBot="1" x14ac:dyDescent="0.25">
      <c r="A67" s="51"/>
      <c r="B67" s="52" t="s">
        <v>8</v>
      </c>
      <c r="C67" s="81">
        <f>SUM(C63:C66)</f>
        <v>663979</v>
      </c>
      <c r="D67" s="81">
        <f>SUM(D64:D66)</f>
        <v>727000</v>
      </c>
      <c r="E67" s="81">
        <f>SUM(E63:E66)</f>
        <v>575000</v>
      </c>
      <c r="F67" s="88">
        <f>SUM(F63:F66)</f>
        <v>575000</v>
      </c>
      <c r="G67" s="90">
        <f>SUM(G64:G66)</f>
        <v>0</v>
      </c>
    </row>
    <row r="68" spans="1:7" x14ac:dyDescent="0.2">
      <c r="A68" s="53" t="s">
        <v>32</v>
      </c>
      <c r="B68" s="54"/>
      <c r="C68" s="39"/>
      <c r="D68" s="39"/>
      <c r="E68" s="39"/>
      <c r="F68" s="66"/>
      <c r="G68" s="72"/>
    </row>
    <row r="69" spans="1:7" x14ac:dyDescent="0.2">
      <c r="A69" s="50"/>
      <c r="B69" s="40" t="s">
        <v>111</v>
      </c>
      <c r="C69" s="96">
        <v>127355</v>
      </c>
      <c r="D69" s="101">
        <v>127355</v>
      </c>
      <c r="E69" s="84">
        <v>100000</v>
      </c>
      <c r="F69" s="84">
        <v>100000</v>
      </c>
      <c r="G69" s="85">
        <f>F69-E69</f>
        <v>0</v>
      </c>
    </row>
    <row r="70" spans="1:7" ht="13.5" thickBot="1" x14ac:dyDescent="0.25">
      <c r="A70" s="51"/>
      <c r="B70" s="52" t="s">
        <v>8</v>
      </c>
      <c r="C70" s="81">
        <f>SUM(C68:C69)</f>
        <v>127355</v>
      </c>
      <c r="D70" s="81">
        <f>SUM(D69:D69)</f>
        <v>127355</v>
      </c>
      <c r="E70" s="81">
        <f>SUM(E68:E69)</f>
        <v>100000</v>
      </c>
      <c r="F70" s="88">
        <f>SUM(F68:F69)</f>
        <v>100000</v>
      </c>
      <c r="G70" s="89">
        <f>SUM(G69:G69)</f>
        <v>0</v>
      </c>
    </row>
    <row r="71" spans="1:7" x14ac:dyDescent="0.2">
      <c r="A71" s="53" t="s">
        <v>29</v>
      </c>
      <c r="B71" s="54"/>
      <c r="C71" s="39"/>
      <c r="D71" s="39"/>
      <c r="E71" s="39"/>
      <c r="F71" s="66"/>
      <c r="G71" s="72"/>
    </row>
    <row r="72" spans="1:7" x14ac:dyDescent="0.2">
      <c r="A72" s="50"/>
      <c r="B72" s="40" t="s">
        <v>112</v>
      </c>
      <c r="C72" s="79">
        <v>0</v>
      </c>
      <c r="D72" s="79">
        <v>0</v>
      </c>
      <c r="E72" s="87">
        <f>C72-D72</f>
        <v>0</v>
      </c>
      <c r="F72" s="87">
        <f>D72-E72</f>
        <v>0</v>
      </c>
      <c r="G72" s="85">
        <f t="shared" ref="G72:G76" si="13">F72-E72</f>
        <v>0</v>
      </c>
    </row>
    <row r="73" spans="1:7" x14ac:dyDescent="0.2">
      <c r="A73" s="50"/>
      <c r="B73" s="40" t="s">
        <v>113</v>
      </c>
      <c r="C73" s="79">
        <v>0</v>
      </c>
      <c r="D73" s="79">
        <v>0</v>
      </c>
      <c r="E73" s="87">
        <f t="shared" ref="E73:F73" si="14">C73-D73</f>
        <v>0</v>
      </c>
      <c r="F73" s="87">
        <f t="shared" si="14"/>
        <v>0</v>
      </c>
      <c r="G73" s="85">
        <f t="shared" si="13"/>
        <v>0</v>
      </c>
    </row>
    <row r="74" spans="1:7" x14ac:dyDescent="0.2">
      <c r="A74" s="50"/>
      <c r="B74" s="40" t="s">
        <v>114</v>
      </c>
      <c r="C74" s="96">
        <v>66780</v>
      </c>
      <c r="D74" s="96">
        <v>90000</v>
      </c>
      <c r="E74" s="87">
        <v>50000</v>
      </c>
      <c r="F74" s="87">
        <v>50000</v>
      </c>
      <c r="G74" s="85">
        <f t="shared" si="13"/>
        <v>0</v>
      </c>
    </row>
    <row r="75" spans="1:7" x14ac:dyDescent="0.2">
      <c r="A75" s="50"/>
      <c r="B75" s="40" t="s">
        <v>115</v>
      </c>
      <c r="C75" s="101">
        <v>0</v>
      </c>
      <c r="D75" s="96">
        <v>0</v>
      </c>
      <c r="E75" s="87">
        <v>25000</v>
      </c>
      <c r="F75" s="87">
        <v>5000</v>
      </c>
      <c r="G75" s="85">
        <f t="shared" si="13"/>
        <v>-20000</v>
      </c>
    </row>
    <row r="76" spans="1:7" x14ac:dyDescent="0.2">
      <c r="A76" s="55"/>
      <c r="B76" s="40" t="s">
        <v>116</v>
      </c>
      <c r="C76" s="96">
        <v>0</v>
      </c>
      <c r="D76" s="96">
        <v>0</v>
      </c>
      <c r="E76" s="87">
        <v>10000</v>
      </c>
      <c r="F76" s="87">
        <v>5000</v>
      </c>
      <c r="G76" s="85">
        <f t="shared" si="13"/>
        <v>-5000</v>
      </c>
    </row>
    <row r="77" spans="1:7" ht="13.5" thickBot="1" x14ac:dyDescent="0.25">
      <c r="A77" s="51"/>
      <c r="B77" s="52" t="s">
        <v>8</v>
      </c>
      <c r="C77" s="81">
        <f>SUM(C71:C76)</f>
        <v>66780</v>
      </c>
      <c r="D77" s="81">
        <f>SUM(D72:D76)</f>
        <v>90000</v>
      </c>
      <c r="E77" s="81">
        <f>SUM(E71:E76)</f>
        <v>85000</v>
      </c>
      <c r="F77" s="88">
        <f>SUM(F72:F76)</f>
        <v>60000</v>
      </c>
      <c r="G77" s="89">
        <f>SUM(G72:G76)</f>
        <v>-25000</v>
      </c>
    </row>
    <row r="78" spans="1:7" x14ac:dyDescent="0.2">
      <c r="A78" s="53" t="s">
        <v>30</v>
      </c>
      <c r="B78" s="54"/>
      <c r="C78" s="39"/>
      <c r="D78" s="39"/>
      <c r="E78" s="39"/>
      <c r="F78" s="66"/>
      <c r="G78" s="72"/>
    </row>
    <row r="79" spans="1:7" x14ac:dyDescent="0.2">
      <c r="A79" s="50"/>
      <c r="B79" s="40" t="s">
        <v>120</v>
      </c>
      <c r="C79" s="101">
        <v>676899</v>
      </c>
      <c r="D79" s="101">
        <v>810000</v>
      </c>
      <c r="E79" s="101">
        <v>885000</v>
      </c>
      <c r="F79" s="101">
        <v>934000</v>
      </c>
      <c r="G79" s="85">
        <f>F79-E79</f>
        <v>49000</v>
      </c>
    </row>
    <row r="80" spans="1:7" x14ac:dyDescent="0.2">
      <c r="A80" s="50"/>
      <c r="B80" s="40" t="s">
        <v>121</v>
      </c>
      <c r="C80" s="96">
        <v>19406</v>
      </c>
      <c r="D80" s="96">
        <v>25000</v>
      </c>
      <c r="E80" s="101">
        <v>35000</v>
      </c>
      <c r="F80" s="101">
        <v>35000</v>
      </c>
      <c r="G80" s="85">
        <f t="shared" ref="G80:G82" si="15">F80-E80</f>
        <v>0</v>
      </c>
    </row>
    <row r="81" spans="1:7" x14ac:dyDescent="0.2">
      <c r="A81" s="50"/>
      <c r="B81" s="40" t="s">
        <v>122</v>
      </c>
      <c r="C81" s="96">
        <v>166818</v>
      </c>
      <c r="D81" s="96">
        <v>198000</v>
      </c>
      <c r="E81" s="101">
        <v>220000</v>
      </c>
      <c r="F81" s="101">
        <v>220000</v>
      </c>
      <c r="G81" s="85">
        <f t="shared" si="15"/>
        <v>0</v>
      </c>
    </row>
    <row r="82" spans="1:7" x14ac:dyDescent="0.2">
      <c r="A82" s="50"/>
      <c r="B82" s="40" t="s">
        <v>123</v>
      </c>
      <c r="C82" s="96">
        <v>10524</v>
      </c>
      <c r="D82" s="96">
        <v>11000</v>
      </c>
      <c r="E82" s="101">
        <v>12000</v>
      </c>
      <c r="F82" s="101">
        <v>12000</v>
      </c>
      <c r="G82" s="85">
        <f t="shared" si="15"/>
        <v>0</v>
      </c>
    </row>
    <row r="83" spans="1:7" ht="13.5" thickBot="1" x14ac:dyDescent="0.25">
      <c r="A83" s="51"/>
      <c r="B83" s="52" t="s">
        <v>8</v>
      </c>
      <c r="C83" s="82">
        <f>SUM(C78:C82)</f>
        <v>873647</v>
      </c>
      <c r="D83" s="81">
        <f>SUM(D79:D82)</f>
        <v>1044000</v>
      </c>
      <c r="E83" s="81">
        <f>SUM(E78:E82)</f>
        <v>1152000</v>
      </c>
      <c r="F83" s="88">
        <f>SUM(F78:F82)</f>
        <v>1201000</v>
      </c>
      <c r="G83" s="89">
        <f>SUM(G79:G82)</f>
        <v>49000</v>
      </c>
    </row>
    <row r="84" spans="1:7" x14ac:dyDescent="0.2">
      <c r="A84" s="53" t="s">
        <v>31</v>
      </c>
      <c r="B84" s="54"/>
      <c r="C84" s="39"/>
      <c r="D84" s="39"/>
      <c r="E84" s="39"/>
      <c r="F84" s="66"/>
      <c r="G84" s="73"/>
    </row>
    <row r="85" spans="1:7" x14ac:dyDescent="0.2">
      <c r="A85" s="50"/>
      <c r="B85" s="40" t="s">
        <v>130</v>
      </c>
      <c r="C85" s="96">
        <v>42734</v>
      </c>
      <c r="D85" s="101">
        <v>42734</v>
      </c>
      <c r="E85" s="96">
        <v>0</v>
      </c>
      <c r="F85" s="180">
        <f>'Capital_Expenses - Sched A'!I16</f>
        <v>1594000</v>
      </c>
      <c r="G85" s="85">
        <f>F85-E85</f>
        <v>1594000</v>
      </c>
    </row>
    <row r="86" spans="1:7" ht="13.5" thickBot="1" x14ac:dyDescent="0.25">
      <c r="A86" s="51"/>
      <c r="B86" s="52" t="s">
        <v>8</v>
      </c>
      <c r="C86" s="81">
        <f>SUM(C84:C85)</f>
        <v>42734</v>
      </c>
      <c r="D86" s="81">
        <f>SUM(D85)</f>
        <v>42734</v>
      </c>
      <c r="E86" s="81">
        <f>SUM(E84:E85)</f>
        <v>0</v>
      </c>
      <c r="F86" s="88">
        <f>SUM(F84:F85)</f>
        <v>1594000</v>
      </c>
      <c r="G86" s="90">
        <f>SUM(G85)</f>
        <v>1594000</v>
      </c>
    </row>
    <row r="87" spans="1:7" x14ac:dyDescent="0.2">
      <c r="A87" s="53" t="s">
        <v>135</v>
      </c>
      <c r="B87" s="54"/>
      <c r="C87" s="39"/>
      <c r="D87" s="39"/>
      <c r="E87" s="39"/>
      <c r="F87" s="66"/>
      <c r="G87" s="72"/>
    </row>
    <row r="88" spans="1:7" x14ac:dyDescent="0.2">
      <c r="A88" s="50"/>
      <c r="B88" s="40" t="s">
        <v>131</v>
      </c>
      <c r="C88" s="79">
        <v>1249261.8</v>
      </c>
      <c r="D88" s="79"/>
      <c r="E88" s="79"/>
      <c r="F88" s="84"/>
      <c r="G88" s="85"/>
    </row>
    <row r="89" spans="1:7" x14ac:dyDescent="0.2">
      <c r="A89" s="50"/>
      <c r="B89" s="40" t="s">
        <v>132</v>
      </c>
      <c r="C89" s="79">
        <v>955606</v>
      </c>
      <c r="D89" s="79"/>
      <c r="E89" s="79"/>
      <c r="F89" s="84"/>
      <c r="G89" s="85"/>
    </row>
    <row r="90" spans="1:7" x14ac:dyDescent="0.2">
      <c r="A90" s="50"/>
      <c r="B90" s="40" t="s">
        <v>133</v>
      </c>
      <c r="C90" s="101">
        <v>154775</v>
      </c>
      <c r="D90" s="79"/>
      <c r="E90" s="79"/>
      <c r="F90" s="84"/>
      <c r="G90" s="85"/>
    </row>
    <row r="91" spans="1:7" x14ac:dyDescent="0.2">
      <c r="A91" s="50"/>
      <c r="B91" s="40" t="s">
        <v>134</v>
      </c>
      <c r="C91" s="101">
        <v>52703</v>
      </c>
      <c r="D91" s="79"/>
      <c r="E91" s="79"/>
      <c r="F91" s="84"/>
      <c r="G91" s="85"/>
    </row>
    <row r="92" spans="1:7" ht="13.5" thickBot="1" x14ac:dyDescent="0.25">
      <c r="A92" s="51"/>
      <c r="B92" s="52" t="s">
        <v>8</v>
      </c>
      <c r="C92" s="81">
        <f>SUM(C88:C91)</f>
        <v>2412345.7999999998</v>
      </c>
      <c r="D92" s="174">
        <v>2500000</v>
      </c>
      <c r="E92" s="177">
        <v>1000000</v>
      </c>
      <c r="F92" s="179">
        <f>'Capital_Expenses - Sched A'!I18</f>
        <v>1644830</v>
      </c>
      <c r="G92" s="172">
        <f>F92-E92</f>
        <v>644830</v>
      </c>
    </row>
    <row r="93" spans="1:7" x14ac:dyDescent="0.2">
      <c r="A93" s="48" t="s">
        <v>35</v>
      </c>
      <c r="B93" s="49"/>
      <c r="C93" s="113"/>
      <c r="D93" s="113"/>
      <c r="E93" s="113"/>
      <c r="F93" s="114"/>
      <c r="G93" s="73"/>
    </row>
    <row r="94" spans="1:7" x14ac:dyDescent="0.2">
      <c r="A94" s="50"/>
      <c r="B94" s="40" t="s">
        <v>124</v>
      </c>
      <c r="C94" s="96">
        <v>271100</v>
      </c>
      <c r="D94" s="101">
        <v>272000</v>
      </c>
      <c r="E94" s="101">
        <v>100000</v>
      </c>
      <c r="F94" s="101">
        <v>150000</v>
      </c>
      <c r="G94" s="85">
        <f t="shared" ref="G94:G95" si="16">F94-E94</f>
        <v>50000</v>
      </c>
    </row>
    <row r="95" spans="1:7" x14ac:dyDescent="0.2">
      <c r="A95" s="50"/>
      <c r="B95" s="40" t="s">
        <v>125</v>
      </c>
      <c r="C95" s="96">
        <v>14817</v>
      </c>
      <c r="D95" s="101">
        <v>17000</v>
      </c>
      <c r="E95" s="101">
        <v>75000</v>
      </c>
      <c r="F95" s="101">
        <v>75000</v>
      </c>
      <c r="G95" s="85">
        <f t="shared" si="16"/>
        <v>0</v>
      </c>
    </row>
    <row r="96" spans="1:7" ht="13.5" thickBot="1" x14ac:dyDescent="0.25">
      <c r="A96" s="51"/>
      <c r="B96" s="52" t="s">
        <v>8</v>
      </c>
      <c r="C96" s="81">
        <f>SUM(C93:C95)</f>
        <v>285917</v>
      </c>
      <c r="D96" s="81">
        <f>SUM(D94:D95)</f>
        <v>289000</v>
      </c>
      <c r="E96" s="81">
        <f>SUM(E94:E95)</f>
        <v>175000</v>
      </c>
      <c r="F96" s="81">
        <f>SUM(F94:F95)</f>
        <v>225000</v>
      </c>
      <c r="G96" s="90">
        <f>SUM(G94:G95)</f>
        <v>50000</v>
      </c>
    </row>
    <row r="97" spans="1:7" ht="13.5" thickBot="1" x14ac:dyDescent="0.25">
      <c r="A97" s="62"/>
      <c r="B97" s="74" t="s">
        <v>7</v>
      </c>
      <c r="C97" s="91">
        <f>C18+C23+C28+C35+C40+C46+C52+C62+C67+C70+C77+C83+C86+C92+C96</f>
        <v>11119910.010000002</v>
      </c>
      <c r="D97" s="92">
        <f>D18+D23+D28+D35+D40+D46+D52+D62+D67+D70+D77+D83+D86+D92+D96</f>
        <v>12981585</v>
      </c>
      <c r="E97" s="92">
        <f>E18+E23+E28+E35+E40+E46+E52+E62+E67+E70+E77+E83+E86+E92+E96</f>
        <v>11561975</v>
      </c>
      <c r="F97" s="92">
        <f>F18+F23+F28+F35+F40+F46+F52+F62+F67+F70+F77+F83+F86+F92+F96</f>
        <v>13772555</v>
      </c>
      <c r="G97" s="93">
        <f>G18+G23+G28+G35+G40+G46+G52+G62+G67+G70+G77+G83+G86+G92+G96</f>
        <v>2290580</v>
      </c>
    </row>
    <row r="99" spans="1:7" x14ac:dyDescent="0.2">
      <c r="D99" s="107"/>
    </row>
  </sheetData>
  <mergeCells count="1">
    <mergeCell ref="A2:B2"/>
  </mergeCells>
  <phoneticPr fontId="2" type="noConversion"/>
  <pageMargins left="0.25" right="0.25" top="0.53" bottom="0.39" header="0.48" footer="0.5"/>
  <pageSetup scale="95" orientation="portrait" r:id="rId1"/>
  <headerFooter alignWithMargins="0">
    <oddFooter>&amp;R5</oddFooter>
  </headerFooter>
  <rowBreaks count="1" manualBreakCount="1">
    <brk id="52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789DF-37E1-4057-8C3D-55343CF617D4}">
  <sheetPr>
    <pageSetUpPr fitToPage="1"/>
  </sheetPr>
  <dimension ref="A3:O90"/>
  <sheetViews>
    <sheetView topLeftCell="B55" zoomScale="130" zoomScaleNormal="130" workbookViewId="0">
      <selection activeCell="E14" sqref="E14"/>
    </sheetView>
  </sheetViews>
  <sheetFormatPr defaultColWidth="8.85546875" defaultRowHeight="12.75" x14ac:dyDescent="0.2"/>
  <cols>
    <col min="1" max="1" width="3.140625" style="116" hidden="1" customWidth="1"/>
    <col min="2" max="2" width="10" style="116" customWidth="1"/>
    <col min="3" max="3" width="6.7109375" style="116" customWidth="1"/>
    <col min="4" max="4" width="39.140625" style="116" bestFit="1" customWidth="1"/>
    <col min="5" max="5" width="8.85546875" style="116"/>
    <col min="6" max="6" width="5" style="116" customWidth="1"/>
    <col min="7" max="7" width="9.85546875" style="116" bestFit="1" customWidth="1"/>
    <col min="8" max="8" width="10" style="116" bestFit="1" customWidth="1"/>
    <col min="9" max="9" width="11.28515625" style="117" bestFit="1" customWidth="1"/>
    <col min="10" max="10" width="11.28515625" style="116" bestFit="1" customWidth="1"/>
    <col min="11" max="11" width="10.5703125" style="116" bestFit="1" customWidth="1"/>
    <col min="12" max="16384" width="8.85546875" style="116"/>
  </cols>
  <sheetData>
    <row r="3" spans="1:15" ht="13.5" thickBot="1" x14ac:dyDescent="0.25">
      <c r="B3" s="116" t="s">
        <v>227</v>
      </c>
    </row>
    <row r="4" spans="1:15" ht="15" customHeight="1" thickBot="1" x14ac:dyDescent="0.25">
      <c r="A4" s="116" t="s">
        <v>176</v>
      </c>
      <c r="B4" s="169" t="s">
        <v>171</v>
      </c>
      <c r="C4" s="168" t="s">
        <v>175</v>
      </c>
      <c r="D4" s="168" t="s">
        <v>174</v>
      </c>
      <c r="E4" s="167" t="s">
        <v>129</v>
      </c>
      <c r="F4" s="167" t="s">
        <v>127</v>
      </c>
      <c r="G4" s="167" t="s">
        <v>173</v>
      </c>
      <c r="H4" s="167" t="s">
        <v>172</v>
      </c>
      <c r="I4" s="167" t="s">
        <v>171</v>
      </c>
      <c r="J4" s="166" t="s">
        <v>170</v>
      </c>
    </row>
    <row r="5" spans="1:15" ht="15" customHeight="1" x14ac:dyDescent="0.2">
      <c r="B5" s="148">
        <v>1</v>
      </c>
      <c r="C5" s="153" t="s">
        <v>169</v>
      </c>
      <c r="D5" s="146"/>
      <c r="E5" s="144"/>
      <c r="F5" s="144"/>
      <c r="G5" s="144"/>
      <c r="H5" s="143"/>
      <c r="I5" s="142"/>
      <c r="J5" s="141"/>
    </row>
    <row r="6" spans="1:15" ht="15" customHeight="1" thickBot="1" x14ac:dyDescent="0.25">
      <c r="A6" s="116">
        <v>25</v>
      </c>
      <c r="B6" s="136"/>
      <c r="C6" s="135">
        <v>7</v>
      </c>
      <c r="D6" s="129" t="s">
        <v>181</v>
      </c>
      <c r="E6" s="129">
        <v>0</v>
      </c>
      <c r="F6" s="129"/>
      <c r="G6" s="128"/>
      <c r="H6" s="128"/>
      <c r="I6" s="34"/>
      <c r="J6" s="12"/>
    </row>
    <row r="7" spans="1:15" ht="15" customHeight="1" x14ac:dyDescent="0.2">
      <c r="B7" s="148">
        <v>2</v>
      </c>
      <c r="C7" s="153" t="s">
        <v>168</v>
      </c>
      <c r="D7" s="146"/>
      <c r="E7" s="144"/>
      <c r="F7" s="144"/>
      <c r="G7" s="144"/>
      <c r="H7" s="144"/>
      <c r="I7" s="164"/>
      <c r="J7" s="163"/>
      <c r="O7" s="165"/>
    </row>
    <row r="8" spans="1:15" ht="15" customHeight="1" x14ac:dyDescent="0.2">
      <c r="B8" s="140"/>
      <c r="C8" s="138">
        <v>7</v>
      </c>
      <c r="D8" s="131" t="s">
        <v>165</v>
      </c>
      <c r="E8" s="131">
        <v>5</v>
      </c>
      <c r="F8" s="131" t="s">
        <v>150</v>
      </c>
      <c r="G8" s="26">
        <v>4000</v>
      </c>
      <c r="H8" s="26">
        <f>+G8*E8</f>
        <v>20000</v>
      </c>
      <c r="I8" s="137"/>
      <c r="J8" s="13">
        <f>+H8*0.5</f>
        <v>10000</v>
      </c>
      <c r="L8" s="162"/>
    </row>
    <row r="9" spans="1:15" ht="15" customHeight="1" thickBot="1" x14ac:dyDescent="0.25">
      <c r="A9" s="116">
        <v>25</v>
      </c>
      <c r="B9" s="136"/>
      <c r="C9" s="135"/>
      <c r="D9" s="129"/>
      <c r="E9" s="129"/>
      <c r="F9" s="129"/>
      <c r="G9" s="128"/>
      <c r="H9" s="128"/>
      <c r="I9" s="34">
        <f>+H8</f>
        <v>20000</v>
      </c>
      <c r="J9" s="12"/>
      <c r="L9" s="162"/>
    </row>
    <row r="10" spans="1:15" ht="15" customHeight="1" x14ac:dyDescent="0.2">
      <c r="B10" s="148">
        <v>3</v>
      </c>
      <c r="C10" s="153" t="s">
        <v>167</v>
      </c>
      <c r="D10" s="146"/>
      <c r="E10" s="144"/>
      <c r="F10" s="144"/>
      <c r="G10" s="144"/>
      <c r="H10" s="144"/>
      <c r="I10" s="164"/>
      <c r="J10" s="163"/>
      <c r="L10" s="162"/>
    </row>
    <row r="11" spans="1:15" ht="15" customHeight="1" x14ac:dyDescent="0.2">
      <c r="B11" s="140"/>
      <c r="C11" s="138">
        <v>7</v>
      </c>
      <c r="D11" s="131" t="s">
        <v>165</v>
      </c>
      <c r="E11" s="131">
        <v>5</v>
      </c>
      <c r="F11" s="131" t="s">
        <v>150</v>
      </c>
      <c r="G11" s="26">
        <v>10000</v>
      </c>
      <c r="H11" s="26">
        <f>+G11*E11</f>
        <v>50000</v>
      </c>
      <c r="I11" s="137"/>
      <c r="J11" s="13">
        <f>+H11*0.5</f>
        <v>25000</v>
      </c>
      <c r="L11" s="162"/>
    </row>
    <row r="12" spans="1:15" ht="15" customHeight="1" thickBot="1" x14ac:dyDescent="0.25">
      <c r="A12" s="116">
        <v>25</v>
      </c>
      <c r="B12" s="136"/>
      <c r="C12" s="135"/>
      <c r="D12" s="129"/>
      <c r="E12" s="129"/>
      <c r="F12" s="129"/>
      <c r="G12" s="128"/>
      <c r="H12" s="128"/>
      <c r="I12" s="34">
        <f>+H11</f>
        <v>50000</v>
      </c>
      <c r="J12" s="12"/>
      <c r="L12" s="162"/>
    </row>
    <row r="13" spans="1:15" ht="15" customHeight="1" x14ac:dyDescent="0.2">
      <c r="B13" s="148">
        <v>4</v>
      </c>
      <c r="C13" s="153" t="s">
        <v>166</v>
      </c>
      <c r="D13" s="146"/>
      <c r="E13" s="144"/>
      <c r="F13" s="144"/>
      <c r="G13" s="144"/>
      <c r="H13" s="144"/>
      <c r="I13" s="164"/>
      <c r="J13" s="163"/>
      <c r="L13" s="162"/>
    </row>
    <row r="14" spans="1:15" ht="15" customHeight="1" x14ac:dyDescent="0.2">
      <c r="B14" s="140"/>
      <c r="C14" s="138">
        <v>7</v>
      </c>
      <c r="D14" s="131" t="s">
        <v>165</v>
      </c>
      <c r="E14" s="131">
        <v>5</v>
      </c>
      <c r="F14" s="131" t="s">
        <v>150</v>
      </c>
      <c r="G14" s="26">
        <v>15000</v>
      </c>
      <c r="H14" s="26">
        <f>+G14*E14</f>
        <v>75000</v>
      </c>
      <c r="I14" s="137"/>
      <c r="J14" s="13">
        <f>+H14*0.5</f>
        <v>37500</v>
      </c>
      <c r="L14" s="162"/>
    </row>
    <row r="15" spans="1:15" ht="15" customHeight="1" thickBot="1" x14ac:dyDescent="0.25">
      <c r="A15" s="116">
        <v>25</v>
      </c>
      <c r="B15" s="136"/>
      <c r="C15" s="135"/>
      <c r="D15" s="129"/>
      <c r="E15" s="129"/>
      <c r="F15" s="129"/>
      <c r="G15" s="128"/>
      <c r="H15" s="128"/>
      <c r="I15" s="34">
        <f>+H14</f>
        <v>75000</v>
      </c>
      <c r="J15" s="12"/>
      <c r="O15" s="161"/>
    </row>
    <row r="16" spans="1:15" ht="15" customHeight="1" x14ac:dyDescent="0.2">
      <c r="B16" s="145">
        <v>5</v>
      </c>
      <c r="C16" s="178" t="s">
        <v>164</v>
      </c>
      <c r="D16" s="134"/>
      <c r="E16" s="160"/>
      <c r="F16" s="160"/>
      <c r="G16" s="160"/>
      <c r="H16" s="160"/>
      <c r="I16" s="159"/>
      <c r="J16" s="158"/>
    </row>
    <row r="17" spans="1:10" ht="15" customHeight="1" x14ac:dyDescent="0.2">
      <c r="B17" s="140"/>
      <c r="C17" s="138">
        <v>7</v>
      </c>
      <c r="D17" s="131" t="s">
        <v>163</v>
      </c>
      <c r="E17" s="131">
        <v>0</v>
      </c>
      <c r="F17" s="131" t="s">
        <v>150</v>
      </c>
      <c r="G17" s="26">
        <v>15000</v>
      </c>
      <c r="H17" s="26">
        <f>+G17*E17</f>
        <v>0</v>
      </c>
      <c r="I17" s="137"/>
      <c r="J17" s="13">
        <f>+H17*0.5</f>
        <v>0</v>
      </c>
    </row>
    <row r="18" spans="1:10" ht="15" customHeight="1" thickBot="1" x14ac:dyDescent="0.25">
      <c r="A18" s="116">
        <v>10</v>
      </c>
      <c r="B18" s="152"/>
      <c r="C18" s="151"/>
      <c r="D18" s="150"/>
      <c r="E18" s="150"/>
      <c r="F18" s="150"/>
      <c r="G18" s="155"/>
      <c r="H18" s="155"/>
      <c r="I18" s="34">
        <f>+H17</f>
        <v>0</v>
      </c>
      <c r="J18" s="36"/>
    </row>
    <row r="19" spans="1:10" ht="15" customHeight="1" x14ac:dyDescent="0.2">
      <c r="B19" s="148">
        <v>6</v>
      </c>
      <c r="C19" s="153" t="s">
        <v>162</v>
      </c>
      <c r="D19" s="146"/>
      <c r="E19" s="144"/>
      <c r="F19" s="144"/>
      <c r="G19" s="143"/>
      <c r="H19" s="143"/>
      <c r="I19" s="142"/>
      <c r="J19" s="141"/>
    </row>
    <row r="20" spans="1:10" ht="15" customHeight="1" x14ac:dyDescent="0.2">
      <c r="B20" s="140"/>
      <c r="C20" s="138">
        <v>7</v>
      </c>
      <c r="D20" s="131"/>
      <c r="E20" s="131">
        <v>3</v>
      </c>
      <c r="F20" s="131"/>
      <c r="G20" s="130">
        <v>5000</v>
      </c>
      <c r="H20" s="26">
        <f>+G20*E20</f>
        <v>15000</v>
      </c>
      <c r="I20" s="137"/>
      <c r="J20" s="13"/>
    </row>
    <row r="21" spans="1:10" ht="15" customHeight="1" x14ac:dyDescent="0.2">
      <c r="B21" s="140"/>
      <c r="C21" s="138">
        <v>7</v>
      </c>
      <c r="D21" s="131"/>
      <c r="E21" s="131">
        <v>1</v>
      </c>
      <c r="F21" s="131"/>
      <c r="G21" s="130">
        <v>15000</v>
      </c>
      <c r="H21" s="26">
        <f>+G21*E21</f>
        <v>15000</v>
      </c>
      <c r="I21" s="137"/>
      <c r="J21" s="13"/>
    </row>
    <row r="22" spans="1:10" ht="15" customHeight="1" x14ac:dyDescent="0.2">
      <c r="B22" s="140"/>
      <c r="C22" s="138">
        <v>7</v>
      </c>
      <c r="D22" s="131"/>
      <c r="E22" s="131">
        <v>1</v>
      </c>
      <c r="F22" s="131"/>
      <c r="G22" s="26">
        <v>170000</v>
      </c>
      <c r="H22" s="26">
        <f>+G22*E22</f>
        <v>170000</v>
      </c>
      <c r="I22" s="137"/>
      <c r="J22" s="13"/>
    </row>
    <row r="23" spans="1:10" ht="15" customHeight="1" thickBot="1" x14ac:dyDescent="0.25">
      <c r="A23" s="116">
        <v>2</v>
      </c>
      <c r="B23" s="157"/>
      <c r="C23" s="135"/>
      <c r="D23" s="129"/>
      <c r="E23" s="129"/>
      <c r="F23" s="129"/>
      <c r="G23" s="128"/>
      <c r="H23" s="128"/>
      <c r="I23" s="34">
        <f>SUM(H20:H22)</f>
        <v>200000</v>
      </c>
      <c r="J23" s="12"/>
    </row>
    <row r="24" spans="1:10" ht="15" customHeight="1" x14ac:dyDescent="0.2">
      <c r="B24" s="148">
        <v>7</v>
      </c>
      <c r="C24" s="153" t="s">
        <v>185</v>
      </c>
      <c r="D24" s="146"/>
      <c r="E24" s="144"/>
      <c r="F24" s="144"/>
      <c r="G24" s="143"/>
      <c r="H24" s="143"/>
      <c r="I24" s="142"/>
      <c r="J24" s="141"/>
    </row>
    <row r="25" spans="1:10" ht="15" customHeight="1" x14ac:dyDescent="0.2">
      <c r="B25" s="145"/>
      <c r="C25" s="138">
        <v>7</v>
      </c>
      <c r="D25" s="134" t="s">
        <v>228</v>
      </c>
      <c r="E25" s="131"/>
      <c r="F25" s="131" t="s">
        <v>155</v>
      </c>
      <c r="G25" s="26"/>
      <c r="H25" s="26">
        <v>350000</v>
      </c>
      <c r="I25" s="130"/>
      <c r="J25" s="13"/>
    </row>
    <row r="26" spans="1:10" ht="15" customHeight="1" x14ac:dyDescent="0.2">
      <c r="B26" s="140"/>
      <c r="C26" s="138"/>
      <c r="D26" s="131" t="s">
        <v>160</v>
      </c>
      <c r="E26" s="131"/>
      <c r="F26" s="131" t="s">
        <v>155</v>
      </c>
      <c r="G26" s="26"/>
      <c r="H26" s="26">
        <v>490000</v>
      </c>
      <c r="I26" s="137"/>
      <c r="J26" s="13">
        <f>+H26</f>
        <v>490000</v>
      </c>
    </row>
    <row r="27" spans="1:10" ht="15" customHeight="1" x14ac:dyDescent="0.2">
      <c r="B27" s="140"/>
      <c r="C27" s="138"/>
      <c r="D27" s="131" t="s">
        <v>229</v>
      </c>
      <c r="E27" s="131"/>
      <c r="F27" s="131" t="s">
        <v>155</v>
      </c>
      <c r="G27" s="26"/>
      <c r="H27" s="26">
        <v>5800</v>
      </c>
      <c r="I27" s="137">
        <f>SUM(H25:H27)</f>
        <v>845800</v>
      </c>
      <c r="J27" s="13">
        <f>+H27</f>
        <v>5800</v>
      </c>
    </row>
    <row r="28" spans="1:10" ht="15" customHeight="1" x14ac:dyDescent="0.2">
      <c r="B28" s="140"/>
      <c r="C28" s="138">
        <v>7</v>
      </c>
      <c r="D28" s="156" t="s">
        <v>230</v>
      </c>
      <c r="E28" s="131"/>
      <c r="F28" s="131" t="s">
        <v>155</v>
      </c>
      <c r="G28" s="173"/>
      <c r="H28" s="26">
        <v>90000</v>
      </c>
      <c r="I28" s="137"/>
      <c r="J28" s="13"/>
    </row>
    <row r="29" spans="1:10" ht="15" customHeight="1" x14ac:dyDescent="0.2">
      <c r="B29" s="140"/>
      <c r="C29" s="138" t="s">
        <v>3</v>
      </c>
      <c r="D29" s="131" t="s">
        <v>160</v>
      </c>
      <c r="E29" s="131"/>
      <c r="F29" s="131" t="s">
        <v>155</v>
      </c>
      <c r="G29" s="173"/>
      <c r="H29" s="26">
        <v>200000</v>
      </c>
      <c r="I29" s="137"/>
      <c r="J29" s="13">
        <f>+H29</f>
        <v>200000</v>
      </c>
    </row>
    <row r="30" spans="1:10" ht="15" customHeight="1" x14ac:dyDescent="0.2">
      <c r="B30" s="152"/>
      <c r="C30" s="151"/>
      <c r="D30" s="131" t="s">
        <v>229</v>
      </c>
      <c r="E30" s="150"/>
      <c r="F30" s="150" t="s">
        <v>155</v>
      </c>
      <c r="G30" s="175"/>
      <c r="H30" s="155">
        <v>0</v>
      </c>
      <c r="I30" s="137">
        <f>SUM(H28:H30)</f>
        <v>290000</v>
      </c>
      <c r="J30" s="36"/>
    </row>
    <row r="31" spans="1:10" ht="15" customHeight="1" x14ac:dyDescent="0.2">
      <c r="B31" s="152"/>
      <c r="C31" s="151">
        <v>7</v>
      </c>
      <c r="D31" s="150" t="s">
        <v>231</v>
      </c>
      <c r="E31" s="150"/>
      <c r="F31" s="150" t="s">
        <v>155</v>
      </c>
      <c r="G31" s="175"/>
      <c r="H31" s="155">
        <v>110000</v>
      </c>
      <c r="I31" s="154"/>
      <c r="J31" s="36"/>
    </row>
    <row r="32" spans="1:10" ht="15" customHeight="1" x14ac:dyDescent="0.2">
      <c r="B32" s="152"/>
      <c r="C32" s="151"/>
      <c r="D32" s="150" t="s">
        <v>160</v>
      </c>
      <c r="E32" s="150"/>
      <c r="F32" s="150" t="s">
        <v>155</v>
      </c>
      <c r="G32" s="175"/>
      <c r="H32" s="155">
        <v>102000</v>
      </c>
      <c r="I32" s="154"/>
      <c r="J32" s="36">
        <f>+H32</f>
        <v>102000</v>
      </c>
    </row>
    <row r="33" spans="1:10" ht="15" customHeight="1" x14ac:dyDescent="0.2">
      <c r="B33" s="152"/>
      <c r="C33" s="151"/>
      <c r="D33" s="131" t="s">
        <v>229</v>
      </c>
      <c r="E33" s="150"/>
      <c r="F33" s="150" t="s">
        <v>155</v>
      </c>
      <c r="G33" s="175"/>
      <c r="H33" s="155">
        <v>0</v>
      </c>
      <c r="I33" s="137">
        <f>SUM(H31:H33)</f>
        <v>212000</v>
      </c>
      <c r="J33" s="36"/>
    </row>
    <row r="34" spans="1:10" ht="15" customHeight="1" thickBot="1" x14ac:dyDescent="0.25">
      <c r="A34" s="116">
        <v>12</v>
      </c>
      <c r="B34" s="136"/>
      <c r="C34" s="135"/>
      <c r="D34" s="129"/>
      <c r="E34" s="129"/>
      <c r="F34" s="129"/>
      <c r="G34" s="128"/>
      <c r="H34" s="128"/>
      <c r="I34" s="34">
        <f>SUM(H25:H32)</f>
        <v>1347800</v>
      </c>
      <c r="J34" s="34"/>
    </row>
    <row r="35" spans="1:10" ht="15" customHeight="1" x14ac:dyDescent="0.2">
      <c r="B35" s="148">
        <v>8</v>
      </c>
      <c r="C35" s="153" t="s">
        <v>161</v>
      </c>
      <c r="D35" s="146"/>
      <c r="E35" s="144"/>
      <c r="F35" s="144"/>
      <c r="G35" s="143"/>
      <c r="H35" s="143"/>
      <c r="I35" s="142"/>
      <c r="J35" s="141"/>
    </row>
    <row r="36" spans="1:10" ht="15" customHeight="1" x14ac:dyDescent="0.2">
      <c r="B36" s="152"/>
      <c r="C36" s="151">
        <v>7</v>
      </c>
      <c r="D36" s="150"/>
      <c r="E36" s="150">
        <v>0</v>
      </c>
      <c r="F36" s="150" t="s">
        <v>150</v>
      </c>
      <c r="G36" s="155">
        <v>200000</v>
      </c>
      <c r="H36" s="155">
        <f>+G36</f>
        <v>200000</v>
      </c>
      <c r="I36" s="154"/>
      <c r="J36" s="36"/>
    </row>
    <row r="37" spans="1:10" ht="15" customHeight="1" x14ac:dyDescent="0.2">
      <c r="B37" s="152"/>
      <c r="C37" s="151"/>
      <c r="D37" s="131"/>
      <c r="E37" s="150">
        <v>0</v>
      </c>
      <c r="F37" s="150" t="s">
        <v>150</v>
      </c>
      <c r="G37" s="155">
        <v>50000</v>
      </c>
      <c r="H37" s="155">
        <f>+G37</f>
        <v>50000</v>
      </c>
      <c r="I37" s="154"/>
      <c r="J37" s="36"/>
    </row>
    <row r="38" spans="1:10" ht="15" customHeight="1" thickBot="1" x14ac:dyDescent="0.25">
      <c r="A38" s="116">
        <v>5</v>
      </c>
      <c r="B38" s="136"/>
      <c r="C38" s="135"/>
      <c r="D38" s="129"/>
      <c r="E38" s="129"/>
      <c r="F38" s="129"/>
      <c r="G38" s="128"/>
      <c r="H38" s="128"/>
      <c r="I38" s="34">
        <f>SUM(H36:H38)</f>
        <v>250000</v>
      </c>
      <c r="J38" s="12"/>
    </row>
    <row r="39" spans="1:10" ht="15" customHeight="1" x14ac:dyDescent="0.2">
      <c r="B39" s="148">
        <v>9</v>
      </c>
      <c r="C39" s="153" t="s">
        <v>159</v>
      </c>
      <c r="D39" s="146"/>
      <c r="E39" s="144"/>
      <c r="F39" s="144"/>
      <c r="G39" s="143"/>
      <c r="H39" s="143"/>
      <c r="I39" s="142"/>
      <c r="J39" s="141"/>
    </row>
    <row r="40" spans="1:10" ht="15" customHeight="1" x14ac:dyDescent="0.2">
      <c r="B40" s="140"/>
      <c r="C40" s="138">
        <v>7</v>
      </c>
      <c r="D40" s="131" t="s">
        <v>181</v>
      </c>
      <c r="E40" s="131">
        <v>0</v>
      </c>
      <c r="F40" s="131" t="s">
        <v>155</v>
      </c>
      <c r="G40" s="26">
        <v>80</v>
      </c>
      <c r="H40" s="26">
        <f>+G40*E40</f>
        <v>0</v>
      </c>
      <c r="I40" s="137"/>
      <c r="J40" s="13">
        <f>+H40*0.5</f>
        <v>0</v>
      </c>
    </row>
    <row r="41" spans="1:10" ht="15" customHeight="1" thickBot="1" x14ac:dyDescent="0.25">
      <c r="A41" s="116">
        <v>3</v>
      </c>
      <c r="B41" s="136"/>
      <c r="C41" s="135"/>
      <c r="D41" s="129"/>
      <c r="E41" s="129"/>
      <c r="F41" s="129"/>
      <c r="G41" s="128"/>
      <c r="H41" s="128"/>
      <c r="I41" s="34">
        <f>SUM(H40:H40)</f>
        <v>0</v>
      </c>
      <c r="J41" s="12"/>
    </row>
    <row r="42" spans="1:10" ht="15" customHeight="1" x14ac:dyDescent="0.2">
      <c r="B42" s="148">
        <v>10</v>
      </c>
      <c r="C42" s="153" t="s">
        <v>158</v>
      </c>
      <c r="D42" s="146"/>
      <c r="E42" s="144"/>
      <c r="F42" s="144"/>
      <c r="G42" s="143"/>
      <c r="H42" s="143"/>
      <c r="I42" s="142"/>
      <c r="J42" s="141"/>
    </row>
    <row r="43" spans="1:10" ht="15" customHeight="1" x14ac:dyDescent="0.2">
      <c r="B43" s="140"/>
      <c r="C43" s="138">
        <v>7</v>
      </c>
      <c r="D43" s="131" t="s">
        <v>181</v>
      </c>
      <c r="E43" s="131">
        <v>0</v>
      </c>
      <c r="F43" s="131" t="s">
        <v>155</v>
      </c>
      <c r="G43" s="26">
        <v>25</v>
      </c>
      <c r="H43" s="26">
        <f>+G43*E43</f>
        <v>0</v>
      </c>
      <c r="I43" s="137"/>
      <c r="J43" s="13">
        <f>+H43*0.5</f>
        <v>0</v>
      </c>
    </row>
    <row r="44" spans="1:10" ht="15" customHeight="1" thickBot="1" x14ac:dyDescent="0.25">
      <c r="A44" s="116">
        <v>4</v>
      </c>
      <c r="B44" s="136"/>
      <c r="C44" s="135"/>
      <c r="D44" s="129"/>
      <c r="E44" s="129"/>
      <c r="F44" s="129"/>
      <c r="G44" s="128"/>
      <c r="H44" s="128"/>
      <c r="I44" s="34">
        <f>SUM(H43:H43)</f>
        <v>0</v>
      </c>
      <c r="J44" s="12"/>
    </row>
    <row r="45" spans="1:10" ht="15" customHeight="1" x14ac:dyDescent="0.2">
      <c r="B45" s="148">
        <v>11</v>
      </c>
      <c r="C45" s="153" t="s">
        <v>157</v>
      </c>
      <c r="D45" s="146"/>
      <c r="E45" s="144"/>
      <c r="F45" s="144"/>
      <c r="G45" s="143"/>
      <c r="H45" s="143"/>
      <c r="I45" s="142"/>
      <c r="J45" s="141"/>
    </row>
    <row r="46" spans="1:10" ht="15" customHeight="1" x14ac:dyDescent="0.2">
      <c r="B46" s="140"/>
      <c r="C46" s="138">
        <v>7</v>
      </c>
      <c r="D46" s="131" t="s">
        <v>156</v>
      </c>
      <c r="E46" s="131"/>
      <c r="F46" s="131" t="s">
        <v>155</v>
      </c>
      <c r="G46" s="26">
        <v>25</v>
      </c>
      <c r="H46" s="26">
        <f>+G46*E46</f>
        <v>0</v>
      </c>
      <c r="I46" s="137"/>
      <c r="J46" s="13">
        <v>0</v>
      </c>
    </row>
    <row r="47" spans="1:10" ht="15" customHeight="1" thickBot="1" x14ac:dyDescent="0.25">
      <c r="A47" s="116">
        <v>5</v>
      </c>
      <c r="B47" s="136"/>
      <c r="C47" s="135"/>
      <c r="D47" s="129"/>
      <c r="E47" s="129"/>
      <c r="F47" s="129"/>
      <c r="G47" s="128"/>
      <c r="H47" s="128"/>
      <c r="I47" s="34">
        <f>SUM(H46:H46)</f>
        <v>0</v>
      </c>
      <c r="J47" s="12"/>
    </row>
    <row r="48" spans="1:10" ht="15" customHeight="1" x14ac:dyDescent="0.2">
      <c r="B48" s="148">
        <v>12</v>
      </c>
      <c r="C48" s="153" t="s">
        <v>154</v>
      </c>
      <c r="D48" s="146"/>
      <c r="E48" s="144"/>
      <c r="F48" s="144"/>
      <c r="G48" s="143"/>
      <c r="H48" s="143"/>
      <c r="I48" s="142"/>
      <c r="J48" s="141"/>
    </row>
    <row r="49" spans="1:10" ht="15" customHeight="1" x14ac:dyDescent="0.2">
      <c r="B49" s="140"/>
      <c r="C49" s="138">
        <v>7</v>
      </c>
      <c r="D49" s="131" t="s">
        <v>232</v>
      </c>
      <c r="E49" s="131"/>
      <c r="F49" s="131"/>
      <c r="G49" s="26"/>
      <c r="H49" s="26"/>
      <c r="I49" s="137"/>
      <c r="J49" s="13">
        <v>225000</v>
      </c>
    </row>
    <row r="50" spans="1:10" ht="15" customHeight="1" x14ac:dyDescent="0.2">
      <c r="B50" s="140"/>
      <c r="C50" s="138">
        <v>7</v>
      </c>
      <c r="D50" s="131" t="s">
        <v>233</v>
      </c>
      <c r="E50" s="131"/>
      <c r="F50" s="131"/>
      <c r="G50" s="26"/>
      <c r="H50" s="26"/>
      <c r="I50" s="137"/>
      <c r="J50" s="13"/>
    </row>
    <row r="51" spans="1:10" ht="15" customHeight="1" x14ac:dyDescent="0.2">
      <c r="B51" s="152"/>
      <c r="C51" s="151">
        <v>7</v>
      </c>
      <c r="D51" s="150" t="s">
        <v>234</v>
      </c>
      <c r="E51" s="150"/>
      <c r="F51" s="131"/>
      <c r="G51" s="26"/>
      <c r="H51" s="26"/>
      <c r="I51" s="137"/>
      <c r="J51" s="13"/>
    </row>
    <row r="52" spans="1:10" ht="15" customHeight="1" thickBot="1" x14ac:dyDescent="0.25">
      <c r="A52" s="116">
        <v>13</v>
      </c>
      <c r="B52" s="149"/>
      <c r="C52" s="135"/>
      <c r="D52" s="129"/>
      <c r="E52" s="129"/>
      <c r="F52" s="129"/>
      <c r="G52" s="128"/>
      <c r="H52" s="128"/>
      <c r="I52" s="34">
        <f>SUM(H49:H51)</f>
        <v>0</v>
      </c>
      <c r="J52" s="12"/>
    </row>
    <row r="53" spans="1:10" ht="15" customHeight="1" x14ac:dyDescent="0.2">
      <c r="B53" s="148">
        <v>13</v>
      </c>
      <c r="C53" s="147" t="s">
        <v>153</v>
      </c>
      <c r="D53" s="146"/>
      <c r="E53" s="144"/>
      <c r="F53" s="144"/>
      <c r="G53" s="143"/>
      <c r="H53" s="143"/>
      <c r="I53" s="142"/>
      <c r="J53" s="141"/>
    </row>
    <row r="54" spans="1:10" ht="15" customHeight="1" x14ac:dyDescent="0.2">
      <c r="B54" s="140"/>
      <c r="C54" s="138"/>
      <c r="D54" s="131"/>
      <c r="E54" s="131"/>
      <c r="F54" s="131"/>
      <c r="G54" s="26"/>
      <c r="H54" s="26"/>
      <c r="I54" s="137"/>
      <c r="J54" s="13"/>
    </row>
    <row r="55" spans="1:10" ht="15" customHeight="1" x14ac:dyDescent="0.2">
      <c r="B55" s="140"/>
      <c r="C55" s="138"/>
      <c r="D55" s="131"/>
      <c r="E55" s="131"/>
      <c r="F55" s="131"/>
      <c r="G55" s="26"/>
      <c r="H55" s="26"/>
      <c r="I55" s="137"/>
      <c r="J55" s="13"/>
    </row>
    <row r="56" spans="1:10" ht="15" customHeight="1" x14ac:dyDescent="0.2">
      <c r="B56" s="140"/>
      <c r="C56" s="138"/>
      <c r="D56" s="131"/>
      <c r="E56" s="131"/>
      <c r="F56" s="131"/>
      <c r="G56" s="26"/>
      <c r="H56" s="26"/>
      <c r="I56" s="137"/>
      <c r="J56" s="13"/>
    </row>
    <row r="57" spans="1:10" ht="15" customHeight="1" x14ac:dyDescent="0.2">
      <c r="B57" s="140"/>
      <c r="C57" s="138"/>
      <c r="D57" s="131"/>
      <c r="E57" s="131"/>
      <c r="F57" s="131"/>
      <c r="G57" s="26"/>
      <c r="H57" s="26"/>
      <c r="I57" s="137"/>
      <c r="J57" s="13"/>
    </row>
    <row r="58" spans="1:10" ht="15" customHeight="1" thickBot="1" x14ac:dyDescent="0.25">
      <c r="A58" s="116">
        <v>5</v>
      </c>
      <c r="B58" s="136"/>
      <c r="C58" s="135"/>
      <c r="D58" s="129" t="s">
        <v>3</v>
      </c>
      <c r="E58" s="129"/>
      <c r="F58" s="129"/>
      <c r="G58" s="128"/>
      <c r="H58" s="128"/>
      <c r="I58" s="34">
        <f>SUM(H54:H57)</f>
        <v>0</v>
      </c>
      <c r="J58" s="12"/>
    </row>
    <row r="59" spans="1:10" ht="15" customHeight="1" x14ac:dyDescent="0.2">
      <c r="B59" s="145">
        <v>14</v>
      </c>
      <c r="C59" s="299" t="s">
        <v>152</v>
      </c>
      <c r="D59" s="299"/>
      <c r="E59" s="144"/>
      <c r="F59" s="144"/>
      <c r="G59" s="143"/>
      <c r="H59" s="143"/>
      <c r="I59" s="142"/>
      <c r="J59" s="141"/>
    </row>
    <row r="60" spans="1:10" ht="15" customHeight="1" x14ac:dyDescent="0.2">
      <c r="B60" s="140"/>
      <c r="C60" s="138">
        <v>7</v>
      </c>
      <c r="D60" s="131" t="s">
        <v>235</v>
      </c>
      <c r="E60" s="131">
        <v>1</v>
      </c>
      <c r="F60" s="131" t="s">
        <v>150</v>
      </c>
      <c r="G60" s="26"/>
      <c r="H60" s="26"/>
      <c r="I60" s="137"/>
      <c r="J60" s="26"/>
    </row>
    <row r="61" spans="1:10" ht="15" customHeight="1" x14ac:dyDescent="0.2">
      <c r="B61" s="140"/>
      <c r="C61" s="138">
        <v>7</v>
      </c>
      <c r="D61" s="131" t="s">
        <v>182</v>
      </c>
      <c r="E61" s="131">
        <v>1</v>
      </c>
      <c r="F61" s="131" t="s">
        <v>150</v>
      </c>
      <c r="G61" s="26">
        <v>400000</v>
      </c>
      <c r="H61" s="26">
        <f>+G61*E61</f>
        <v>400000</v>
      </c>
      <c r="I61" s="137"/>
      <c r="J61" s="26">
        <f>+H61</f>
        <v>400000</v>
      </c>
    </row>
    <row r="62" spans="1:10" ht="15" customHeight="1" x14ac:dyDescent="0.2">
      <c r="B62" s="139"/>
      <c r="C62" s="138">
        <v>7</v>
      </c>
      <c r="D62" s="131" t="s">
        <v>151</v>
      </c>
      <c r="E62" s="131">
        <v>0</v>
      </c>
      <c r="F62" s="131" t="s">
        <v>150</v>
      </c>
      <c r="G62" s="26"/>
      <c r="H62" s="26"/>
      <c r="I62" s="137"/>
      <c r="J62" s="26"/>
    </row>
    <row r="63" spans="1:10" ht="15" customHeight="1" thickBot="1" x14ac:dyDescent="0.25">
      <c r="A63" s="116">
        <v>5</v>
      </c>
      <c r="B63" s="136"/>
      <c r="C63" s="135"/>
      <c r="D63" s="129"/>
      <c r="E63" s="129"/>
      <c r="F63" s="129"/>
      <c r="G63" s="128"/>
      <c r="H63" s="128"/>
      <c r="I63" s="34">
        <f>SUM(H60:H62)</f>
        <v>400000</v>
      </c>
      <c r="J63" s="12"/>
    </row>
    <row r="64" spans="1:10" ht="15" customHeight="1" x14ac:dyDescent="0.2">
      <c r="A64" s="116">
        <f>SUM(A4:A63)</f>
        <v>164</v>
      </c>
      <c r="B64" s="300" t="s">
        <v>8</v>
      </c>
      <c r="C64" s="299"/>
      <c r="D64" s="299"/>
      <c r="E64" s="134"/>
      <c r="F64" s="134"/>
      <c r="G64" s="133"/>
      <c r="H64" s="132"/>
      <c r="I64" s="132"/>
      <c r="J64" s="41">
        <f>SUM(J4:J63)</f>
        <v>1495300</v>
      </c>
    </row>
    <row r="65" spans="2:11" ht="15" customHeight="1" x14ac:dyDescent="0.2">
      <c r="B65" s="301" t="s">
        <v>236</v>
      </c>
      <c r="C65" s="302"/>
      <c r="D65" s="302"/>
      <c r="E65" s="131"/>
      <c r="F65" s="131"/>
      <c r="G65" s="26"/>
      <c r="H65" s="26"/>
      <c r="I65" s="130"/>
      <c r="J65" s="13">
        <f>+J64*0.05</f>
        <v>74765</v>
      </c>
    </row>
    <row r="66" spans="2:11" ht="15" customHeight="1" thickBot="1" x14ac:dyDescent="0.25">
      <c r="B66" s="303" t="s">
        <v>149</v>
      </c>
      <c r="C66" s="304"/>
      <c r="D66" s="304"/>
      <c r="E66" s="129"/>
      <c r="F66" s="129"/>
      <c r="G66" s="128"/>
      <c r="H66" s="128"/>
      <c r="I66" s="127"/>
      <c r="J66" s="12">
        <f>+J64*0.05</f>
        <v>74765</v>
      </c>
    </row>
    <row r="67" spans="2:11" ht="15" customHeight="1" x14ac:dyDescent="0.2">
      <c r="B67" s="305" t="s">
        <v>148</v>
      </c>
      <c r="C67" s="306"/>
      <c r="D67" s="306"/>
      <c r="E67" s="126"/>
      <c r="F67" s="126"/>
      <c r="G67" s="125"/>
      <c r="H67" s="124"/>
      <c r="I67" s="124">
        <f>+I66+I65+I64</f>
        <v>0</v>
      </c>
      <c r="J67" s="123">
        <f>+J66+J65+J64</f>
        <v>1644830</v>
      </c>
    </row>
    <row r="68" spans="2:11" ht="15" hidden="1" customHeight="1" x14ac:dyDescent="0.2">
      <c r="B68" s="119" t="s">
        <v>147</v>
      </c>
      <c r="C68" s="119"/>
      <c r="D68" s="119"/>
      <c r="G68" s="3"/>
      <c r="H68" s="118"/>
      <c r="I68" s="118"/>
      <c r="J68" s="118"/>
    </row>
    <row r="69" spans="2:11" ht="15" hidden="1" customHeight="1" x14ac:dyDescent="0.2">
      <c r="B69" s="119"/>
      <c r="C69" s="119"/>
      <c r="D69" s="121" t="s">
        <v>146</v>
      </c>
      <c r="G69" s="120"/>
      <c r="H69" s="120"/>
      <c r="I69" s="120">
        <v>-200000</v>
      </c>
      <c r="J69" s="120"/>
    </row>
    <row r="70" spans="2:11" ht="15" hidden="1" customHeight="1" x14ac:dyDescent="0.2">
      <c r="B70" s="119"/>
      <c r="C70" s="119"/>
      <c r="D70" s="121" t="s">
        <v>145</v>
      </c>
      <c r="G70" s="120"/>
      <c r="H70" s="120"/>
      <c r="I70" s="120">
        <f>-J8</f>
        <v>-10000</v>
      </c>
      <c r="J70" s="120"/>
    </row>
    <row r="71" spans="2:11" ht="15" hidden="1" customHeight="1" x14ac:dyDescent="0.2">
      <c r="B71" s="119"/>
      <c r="C71" s="119"/>
      <c r="D71" s="121" t="s">
        <v>144</v>
      </c>
      <c r="G71" s="120"/>
      <c r="H71" s="120"/>
      <c r="I71" s="120">
        <f>-J11*0.5</f>
        <v>-12500</v>
      </c>
      <c r="J71" s="120"/>
    </row>
    <row r="72" spans="2:11" ht="15" hidden="1" customHeight="1" x14ac:dyDescent="0.2">
      <c r="B72" s="119"/>
      <c r="C72" s="119"/>
      <c r="D72" s="121" t="s">
        <v>143</v>
      </c>
      <c r="G72" s="120"/>
      <c r="H72" s="120"/>
      <c r="I72" s="120">
        <f>-J14*0.5</f>
        <v>-18750</v>
      </c>
      <c r="J72" s="120"/>
    </row>
    <row r="73" spans="2:11" ht="15" hidden="1" customHeight="1" x14ac:dyDescent="0.2">
      <c r="B73" s="119"/>
      <c r="C73" s="119"/>
      <c r="D73" s="121" t="s">
        <v>183</v>
      </c>
      <c r="G73" s="120"/>
      <c r="H73" s="120"/>
      <c r="I73" s="120"/>
      <c r="J73" s="120"/>
    </row>
    <row r="74" spans="2:11" ht="15" hidden="1" customHeight="1" x14ac:dyDescent="0.2">
      <c r="B74" s="119"/>
      <c r="C74" s="119"/>
      <c r="D74" s="121" t="s">
        <v>184</v>
      </c>
      <c r="G74" s="3"/>
      <c r="H74" s="118"/>
      <c r="I74" s="120"/>
      <c r="J74" s="120"/>
      <c r="K74" s="122"/>
    </row>
    <row r="75" spans="2:11" ht="15" hidden="1" customHeight="1" x14ac:dyDescent="0.2">
      <c r="B75" s="119"/>
      <c r="C75" s="119"/>
      <c r="D75" s="121"/>
      <c r="G75" s="3"/>
      <c r="H75" s="118"/>
      <c r="I75" s="120"/>
      <c r="J75" s="120"/>
    </row>
    <row r="76" spans="2:11" ht="15" hidden="1" customHeight="1" x14ac:dyDescent="0.2">
      <c r="B76" s="119" t="s">
        <v>142</v>
      </c>
      <c r="C76" s="119"/>
      <c r="D76" s="119"/>
      <c r="G76" s="3"/>
      <c r="H76" s="118"/>
      <c r="I76" s="118">
        <f>SUM(I67:I74)</f>
        <v>-241250</v>
      </c>
      <c r="J76" s="118"/>
    </row>
    <row r="77" spans="2:11" x14ac:dyDescent="0.2">
      <c r="B77" s="117" t="s">
        <v>141</v>
      </c>
      <c r="G77" s="3"/>
      <c r="H77" s="3"/>
      <c r="I77" s="118"/>
      <c r="J77" s="3"/>
    </row>
    <row r="78" spans="2:11" ht="97.5" customHeight="1" x14ac:dyDescent="0.2">
      <c r="D78" s="298" t="s">
        <v>140</v>
      </c>
      <c r="E78" s="298"/>
      <c r="F78" s="298"/>
      <c r="G78" s="298"/>
      <c r="H78" s="298"/>
      <c r="I78" s="298"/>
      <c r="J78" s="298"/>
    </row>
    <row r="79" spans="2:11" x14ac:dyDescent="0.2">
      <c r="G79" s="3"/>
      <c r="H79" s="3"/>
      <c r="I79" s="118"/>
      <c r="J79" s="3"/>
    </row>
    <row r="80" spans="2:11" x14ac:dyDescent="0.2">
      <c r="G80" s="3"/>
      <c r="H80" s="3"/>
      <c r="I80" s="118"/>
      <c r="J80" s="3"/>
    </row>
    <row r="81" spans="7:10" x14ac:dyDescent="0.2">
      <c r="G81" s="3"/>
      <c r="H81" s="3"/>
      <c r="I81" s="118"/>
      <c r="J81" s="3"/>
    </row>
    <row r="82" spans="7:10" x14ac:dyDescent="0.2">
      <c r="G82" s="3"/>
      <c r="H82" s="3"/>
      <c r="I82" s="118"/>
      <c r="J82" s="3"/>
    </row>
    <row r="83" spans="7:10" x14ac:dyDescent="0.2">
      <c r="G83" s="3"/>
      <c r="H83" s="3"/>
      <c r="I83" s="118"/>
      <c r="J83" s="3"/>
    </row>
    <row r="84" spans="7:10" x14ac:dyDescent="0.2">
      <c r="G84" s="3"/>
      <c r="H84" s="3"/>
      <c r="I84" s="118"/>
      <c r="J84" s="3"/>
    </row>
    <row r="85" spans="7:10" x14ac:dyDescent="0.2">
      <c r="G85" s="3"/>
      <c r="H85" s="3"/>
      <c r="I85" s="118"/>
      <c r="J85" s="3"/>
    </row>
    <row r="86" spans="7:10" x14ac:dyDescent="0.2">
      <c r="G86" s="3"/>
      <c r="H86" s="3"/>
      <c r="I86" s="118"/>
      <c r="J86" s="3"/>
    </row>
    <row r="87" spans="7:10" x14ac:dyDescent="0.2">
      <c r="G87" s="3"/>
      <c r="H87" s="3"/>
      <c r="I87" s="118"/>
      <c r="J87" s="3"/>
    </row>
    <row r="88" spans="7:10" x14ac:dyDescent="0.2">
      <c r="G88" s="3"/>
      <c r="H88" s="3"/>
      <c r="I88" s="118"/>
      <c r="J88" s="3"/>
    </row>
    <row r="89" spans="7:10" x14ac:dyDescent="0.2">
      <c r="G89" s="3"/>
      <c r="H89" s="3"/>
      <c r="I89" s="118"/>
      <c r="J89" s="3"/>
    </row>
    <row r="90" spans="7:10" x14ac:dyDescent="0.2">
      <c r="G90" s="3"/>
      <c r="H90" s="3"/>
      <c r="I90" s="118"/>
      <c r="J90" s="3"/>
    </row>
  </sheetData>
  <mergeCells count="6">
    <mergeCell ref="D78:J78"/>
    <mergeCell ref="C59:D59"/>
    <mergeCell ref="B64:D64"/>
    <mergeCell ref="B65:D65"/>
    <mergeCell ref="B66:D66"/>
    <mergeCell ref="B67:D67"/>
  </mergeCells>
  <pageMargins left="1.25" right="0.5" top="0.5" bottom="0.5" header="0" footer="0"/>
  <pageSetup scale="67" fitToWidth="0" orientation="portrait" r:id="rId1"/>
  <headerFooter alignWithMargins="0">
    <oddFooter>&amp;R6</oddFooter>
  </headerFooter>
  <rowBreaks count="2" manualBreakCount="2">
    <brk id="34" min="1" max="9" man="1"/>
    <brk id="52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Available Funds</vt:lpstr>
      <vt:lpstr>Capital_Expenses - Sched A</vt:lpstr>
      <vt:lpstr>Revenue</vt:lpstr>
      <vt:lpstr>Expense</vt:lpstr>
      <vt:lpstr>Capital Projects</vt:lpstr>
      <vt:lpstr>'Capital Projects'!Print_Area</vt:lpstr>
      <vt:lpstr>'Capital Projects'!Print_Titles</vt:lpstr>
      <vt:lpstr>Expense!Print_Titles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Cortez</dc:creator>
  <cp:lastModifiedBy>Mary Cortez</cp:lastModifiedBy>
  <cp:lastPrinted>2022-09-15T22:43:33Z</cp:lastPrinted>
  <dcterms:created xsi:type="dcterms:W3CDTF">2008-09-17T13:13:10Z</dcterms:created>
  <dcterms:modified xsi:type="dcterms:W3CDTF">2022-10-17T21:45:13Z</dcterms:modified>
</cp:coreProperties>
</file>